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environmentnswgov.sharepoint.com/sites/MST_EES_NetZeroImpactPartnerships/Shared Documents/General/2. Emissions Intensity Reduction/12_Grants and Technical Team/Grant Assessment Documents/LEIP Merit Criteria Template/"/>
    </mc:Choice>
  </mc:AlternateContent>
  <xr:revisionPtr revIDLastSave="60" documentId="8_{1B54DA79-5397-4B62-9CF2-4959FB67D80D}" xr6:coauthVersionLast="47" xr6:coauthVersionMax="47" xr10:uidLastSave="{6859F110-4E25-4A32-AD1A-AB5C31499B0F}"/>
  <workbookProtection workbookAlgorithmName="SHA-512" workbookHashValue="Iawon94h0u6JnrMGWbb0RB0Tcy79NB/AMoIvzqflrpoVIXBH/g2J1PZ0fcT+NFogFXyHKmaHSUSmP9u3m+Vk9w==" workbookSaltValue="CsHTbFPUpcmTqIUHGf4mWw==" workbookSpinCount="100000" lockStructure="1"/>
  <bookViews>
    <workbookView xWindow="-38510" yWindow="1450" windowWidth="38620" windowHeight="21100" xr2:uid="{06D60D0D-3DAF-4F2D-887F-28EDDEC8C68E}"/>
  </bookViews>
  <sheets>
    <sheet name="Instructions" sheetId="1" r:id="rId1"/>
    <sheet name="Emissions" sheetId="2" r:id="rId2"/>
    <sheet name="Finance" sheetId="5" r:id="rId3"/>
    <sheet name="Finance-Calculations" sheetId="7" state="hidden" r:id="rId4"/>
    <sheet name="Outcome" sheetId="8" state="hidden" r:id="rId5"/>
    <sheet name="Parameters"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7" l="1"/>
  <c r="F21" i="5"/>
  <c r="G21" i="5"/>
  <c r="H21" i="5"/>
  <c r="I21" i="5"/>
  <c r="J21" i="5"/>
  <c r="K21" i="5"/>
  <c r="L21" i="5"/>
  <c r="M21" i="5"/>
  <c r="N21" i="5"/>
  <c r="O21" i="5"/>
  <c r="P21" i="5"/>
  <c r="Q21" i="5"/>
  <c r="R21" i="5"/>
  <c r="S21" i="5"/>
  <c r="T21" i="5"/>
  <c r="U21" i="5"/>
  <c r="V21" i="5"/>
  <c r="W21" i="5"/>
  <c r="X21" i="5"/>
  <c r="Y21" i="5"/>
  <c r="Z21" i="5"/>
  <c r="AA21" i="5"/>
  <c r="AB21" i="5"/>
  <c r="AC21" i="5"/>
  <c r="AD21" i="5"/>
  <c r="AE21" i="5"/>
  <c r="AF21" i="5"/>
  <c r="AG21" i="5"/>
  <c r="AH21" i="5"/>
  <c r="AI21" i="5"/>
  <c r="AJ21" i="5"/>
  <c r="AK21" i="5"/>
  <c r="AL21" i="5"/>
  <c r="AM21" i="5"/>
  <c r="AN21" i="5"/>
  <c r="AO21" i="5"/>
  <c r="AP21" i="5"/>
  <c r="AQ21" i="5"/>
  <c r="AR21" i="5"/>
  <c r="AS21" i="5"/>
  <c r="AT21" i="5"/>
  <c r="AU21" i="5"/>
  <c r="AV21" i="5"/>
  <c r="AW21" i="5"/>
  <c r="AX21" i="5"/>
  <c r="AY21" i="5"/>
  <c r="AZ21" i="5"/>
  <c r="BA21" i="5"/>
  <c r="BB21" i="5"/>
  <c r="BC21" i="5"/>
  <c r="BD21" i="5"/>
  <c r="BE21" i="5"/>
  <c r="BF21" i="5"/>
  <c r="BG21" i="5"/>
  <c r="BH21" i="5"/>
  <c r="E21" i="5"/>
  <c r="D31" i="7" l="1"/>
  <c r="D30" i="7"/>
  <c r="F51" i="5" l="1"/>
  <c r="G51" i="5"/>
  <c r="H51" i="5"/>
  <c r="I51" i="5"/>
  <c r="J51" i="5"/>
  <c r="K51" i="5"/>
  <c r="L51" i="5"/>
  <c r="M51" i="5"/>
  <c r="N51" i="5"/>
  <c r="O51" i="5"/>
  <c r="P51" i="5"/>
  <c r="Q51" i="5"/>
  <c r="R51" i="5"/>
  <c r="S51" i="5"/>
  <c r="T51" i="5"/>
  <c r="U51" i="5"/>
  <c r="V51" i="5"/>
  <c r="W51" i="5"/>
  <c r="X51" i="5"/>
  <c r="Y51" i="5"/>
  <c r="Z51" i="5"/>
  <c r="AA51" i="5"/>
  <c r="AB51" i="5"/>
  <c r="AC51" i="5"/>
  <c r="AD51" i="5"/>
  <c r="AE51" i="5"/>
  <c r="AF51" i="5"/>
  <c r="AG51" i="5"/>
  <c r="AH51" i="5"/>
  <c r="AI51" i="5"/>
  <c r="AJ51" i="5"/>
  <c r="AK51" i="5"/>
  <c r="AL51" i="5"/>
  <c r="AM51" i="5"/>
  <c r="AN51" i="5"/>
  <c r="AO51" i="5"/>
  <c r="AP51" i="5"/>
  <c r="AQ51" i="5"/>
  <c r="AR51" i="5"/>
  <c r="AS51" i="5"/>
  <c r="AT51" i="5"/>
  <c r="AU51" i="5"/>
  <c r="AV51" i="5"/>
  <c r="AW51" i="5"/>
  <c r="AX51" i="5"/>
  <c r="AY51" i="5"/>
  <c r="AZ51" i="5"/>
  <c r="BA51" i="5"/>
  <c r="BB51" i="5"/>
  <c r="BC51" i="5"/>
  <c r="BD51" i="5"/>
  <c r="BE51" i="5"/>
  <c r="BF51" i="5"/>
  <c r="BG51" i="5"/>
  <c r="BH51" i="5"/>
  <c r="E51" i="5"/>
  <c r="B58" i="5"/>
  <c r="B57" i="5"/>
  <c r="B56" i="5"/>
  <c r="D29" i="7" l="1"/>
  <c r="E29" i="5"/>
  <c r="S38" i="5" l="1" a="1"/>
  <c r="S38" i="5" s="1"/>
  <c r="T38" i="5" a="1"/>
  <c r="T38" i="5" s="1"/>
  <c r="U38" i="5" a="1"/>
  <c r="U38" i="5" s="1"/>
  <c r="V38" i="5" a="1"/>
  <c r="V38" i="5" s="1"/>
  <c r="W38" i="5" a="1"/>
  <c r="W38" i="5" s="1"/>
  <c r="X38" i="5" a="1"/>
  <c r="X38" i="5" s="1"/>
  <c r="Y38" i="5" a="1"/>
  <c r="Y38" i="5" s="1"/>
  <c r="Z38" i="5" a="1"/>
  <c r="Z38" i="5" s="1"/>
  <c r="AA38" i="5" a="1"/>
  <c r="AA38" i="5" s="1"/>
  <c r="AB38" i="5" a="1"/>
  <c r="AB38" i="5" s="1"/>
  <c r="AC38" i="5" a="1"/>
  <c r="AC38" i="5" s="1"/>
  <c r="AD38" i="5" a="1"/>
  <c r="AD38" i="5" s="1"/>
  <c r="AE38" i="5" a="1"/>
  <c r="AE38" i="5" s="1"/>
  <c r="AF38" i="5" a="1"/>
  <c r="AF38" i="5" s="1"/>
  <c r="AG38" i="5" a="1"/>
  <c r="AG38" i="5" s="1"/>
  <c r="AH38" i="5" a="1"/>
  <c r="AH38" i="5" s="1"/>
  <c r="AI38" i="5" a="1"/>
  <c r="AI38" i="5" s="1"/>
  <c r="AJ38" i="5" a="1"/>
  <c r="AJ38" i="5" s="1"/>
  <c r="AK38" i="5" a="1"/>
  <c r="AK38" i="5" s="1"/>
  <c r="AL38" i="5" a="1"/>
  <c r="AL38" i="5" s="1"/>
  <c r="AM38" i="5" a="1"/>
  <c r="AM38" i="5" s="1"/>
  <c r="AN38" i="5" a="1"/>
  <c r="AN38" i="5" s="1"/>
  <c r="AO38" i="5" a="1"/>
  <c r="AO38" i="5" s="1"/>
  <c r="AP38" i="5" a="1"/>
  <c r="AP38" i="5" s="1"/>
  <c r="AQ38" i="5" a="1"/>
  <c r="AQ38" i="5" s="1"/>
  <c r="AR38" i="5" a="1"/>
  <c r="AR38" i="5" s="1"/>
  <c r="AS38" i="5" a="1"/>
  <c r="AS38" i="5" s="1"/>
  <c r="AT38" i="5" a="1"/>
  <c r="AT38" i="5" s="1"/>
  <c r="AU38" i="5" a="1"/>
  <c r="AU38" i="5" s="1"/>
  <c r="AV38" i="5" a="1"/>
  <c r="AV38" i="5" s="1"/>
  <c r="AW38" i="5" a="1"/>
  <c r="AW38" i="5" s="1"/>
  <c r="AX38" i="5" a="1"/>
  <c r="AX38" i="5" s="1"/>
  <c r="AY38" i="5" a="1"/>
  <c r="AY38" i="5" s="1"/>
  <c r="AZ38" i="5" a="1"/>
  <c r="AZ38" i="5" s="1"/>
  <c r="BA38" i="5" a="1"/>
  <c r="BA38" i="5" s="1"/>
  <c r="BB38" i="5" a="1"/>
  <c r="BB38" i="5" s="1"/>
  <c r="BC38" i="5" a="1"/>
  <c r="BC38" i="5" s="1"/>
  <c r="BD38" i="5" a="1"/>
  <c r="BD38" i="5" s="1"/>
  <c r="BE38" i="5" a="1"/>
  <c r="BE38" i="5" s="1"/>
  <c r="BF38" i="5" a="1"/>
  <c r="BF38" i="5" s="1"/>
  <c r="BG38" i="5" a="1"/>
  <c r="BG38" i="5" s="1"/>
  <c r="BH38" i="5" a="1"/>
  <c r="BH38" i="5" s="1"/>
  <c r="F38" i="5" a="1"/>
  <c r="F38" i="5" s="1"/>
  <c r="G38" i="5" a="1"/>
  <c r="G38" i="5" s="1"/>
  <c r="H38" i="5" a="1"/>
  <c r="H38" i="5" s="1"/>
  <c r="I38" i="5" a="1"/>
  <c r="I38" i="5" s="1"/>
  <c r="J38" i="5" a="1"/>
  <c r="J38" i="5" s="1"/>
  <c r="K38" i="5" a="1"/>
  <c r="K38" i="5" s="1"/>
  <c r="L38" i="5" a="1"/>
  <c r="L38" i="5" s="1"/>
  <c r="M38" i="5" a="1"/>
  <c r="M38" i="5" s="1"/>
  <c r="N38" i="5" a="1"/>
  <c r="N38" i="5" s="1"/>
  <c r="O38" i="5" a="1"/>
  <c r="O38" i="5" s="1"/>
  <c r="P38" i="5" a="1"/>
  <c r="P38" i="5" s="1"/>
  <c r="Q38" i="5" a="1"/>
  <c r="Q38" i="5" s="1"/>
  <c r="R38" i="5" a="1"/>
  <c r="R38" i="5" s="1"/>
  <c r="E38" i="5" a="1"/>
  <c r="E38" i="5" s="1"/>
  <c r="D42" i="7" l="1"/>
  <c r="F23" i="8" s="1"/>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D15" i="7"/>
  <c r="D23" i="7"/>
  <c r="D19" i="7"/>
  <c r="G58" i="2" a="1"/>
  <c r="G58" i="2" s="1"/>
  <c r="H58" i="2" a="1"/>
  <c r="H58" i="2" s="1"/>
  <c r="I58" i="2" a="1"/>
  <c r="I58" i="2" s="1"/>
  <c r="J58" i="2" a="1"/>
  <c r="J58" i="2" s="1"/>
  <c r="K58" i="2" a="1"/>
  <c r="K58" i="2" s="1"/>
  <c r="L58" i="2" a="1"/>
  <c r="L58" i="2" s="1"/>
  <c r="M58" i="2" a="1"/>
  <c r="M58" i="2" s="1"/>
  <c r="N58" i="2" a="1"/>
  <c r="N58" i="2" s="1"/>
  <c r="O58" i="2" a="1"/>
  <c r="O58" i="2" s="1"/>
  <c r="P58" i="2" a="1"/>
  <c r="P58" i="2" s="1"/>
  <c r="Q58" i="2" a="1"/>
  <c r="Q58" i="2" s="1"/>
  <c r="R58" i="2" a="1"/>
  <c r="R58" i="2" s="1"/>
  <c r="S58" i="2" a="1"/>
  <c r="S58" i="2" s="1"/>
  <c r="T58" i="2" a="1"/>
  <c r="T58" i="2" s="1"/>
  <c r="U58" i="2" a="1"/>
  <c r="U58" i="2" s="1"/>
  <c r="V58" i="2" a="1"/>
  <c r="V58" i="2" s="1"/>
  <c r="W58" i="2" a="1"/>
  <c r="W58" i="2" s="1"/>
  <c r="X58" i="2" a="1"/>
  <c r="X58" i="2" s="1"/>
  <c r="Y58" i="2" a="1"/>
  <c r="Y58" i="2" s="1"/>
  <c r="Z58" i="2" a="1"/>
  <c r="Z58" i="2" s="1"/>
  <c r="AA58" i="2" a="1"/>
  <c r="AA58" i="2" s="1"/>
  <c r="AB58" i="2" a="1"/>
  <c r="AB58" i="2" s="1"/>
  <c r="AC58" i="2" a="1"/>
  <c r="AC58" i="2" s="1"/>
  <c r="AD58" i="2" a="1"/>
  <c r="AD58" i="2" s="1"/>
  <c r="AE58" i="2" a="1"/>
  <c r="AE58" i="2" s="1"/>
  <c r="AF58" i="2" a="1"/>
  <c r="AF58" i="2" s="1"/>
  <c r="AG58" i="2" a="1"/>
  <c r="AG58" i="2" s="1"/>
  <c r="AH58" i="2" a="1"/>
  <c r="AH58" i="2" s="1"/>
  <c r="AI58" i="2" a="1"/>
  <c r="AI58" i="2" s="1"/>
  <c r="AJ58" i="2" a="1"/>
  <c r="AJ58" i="2" s="1"/>
  <c r="AK58" i="2" a="1"/>
  <c r="AK58" i="2" s="1"/>
  <c r="AL58" i="2" a="1"/>
  <c r="AL58" i="2" s="1"/>
  <c r="AM58" i="2" a="1"/>
  <c r="AM58" i="2" s="1"/>
  <c r="AN58" i="2" a="1"/>
  <c r="AN58" i="2" s="1"/>
  <c r="AO58" i="2" a="1"/>
  <c r="AO58" i="2" s="1"/>
  <c r="AP58" i="2" a="1"/>
  <c r="AP58" i="2" s="1"/>
  <c r="AQ58" i="2" a="1"/>
  <c r="AQ58" i="2" s="1"/>
  <c r="AR58" i="2" a="1"/>
  <c r="AR58" i="2" s="1"/>
  <c r="AS58" i="2" a="1"/>
  <c r="AS58" i="2" s="1"/>
  <c r="AT58" i="2" a="1"/>
  <c r="AT58" i="2" s="1"/>
  <c r="AU58" i="2" a="1"/>
  <c r="AU58" i="2" s="1"/>
  <c r="AV58" i="2" a="1"/>
  <c r="AV58" i="2" s="1"/>
  <c r="AW58" i="2" a="1"/>
  <c r="AW58" i="2" s="1"/>
  <c r="AX58" i="2" a="1"/>
  <c r="AX58" i="2" s="1"/>
  <c r="AY58" i="2" a="1"/>
  <c r="AY58" i="2" s="1"/>
  <c r="AZ58" i="2" a="1"/>
  <c r="AZ58" i="2" s="1"/>
  <c r="BA58" i="2" a="1"/>
  <c r="BA58" i="2" s="1"/>
  <c r="BB58" i="2" a="1"/>
  <c r="BB58" i="2" s="1"/>
  <c r="BC58" i="2" a="1"/>
  <c r="BC58" i="2" s="1"/>
  <c r="BD58" i="2" a="1"/>
  <c r="BD58" i="2" s="1"/>
  <c r="BE58" i="2" a="1"/>
  <c r="BE58" i="2" s="1"/>
  <c r="BF58" i="2" a="1"/>
  <c r="BF58" i="2" s="1"/>
  <c r="BG58" i="2" a="1"/>
  <c r="BG58" i="2" s="1"/>
  <c r="BH58" i="2" a="1"/>
  <c r="BH58" i="2" s="1"/>
  <c r="BI58" i="2" a="1"/>
  <c r="BI58" i="2" s="1"/>
  <c r="F58" i="2" a="1"/>
  <c r="F58" i="2" s="1"/>
  <c r="G52" i="2" a="1"/>
  <c r="G52" i="2" s="1"/>
  <c r="H52" i="2" a="1"/>
  <c r="H52" i="2" s="1"/>
  <c r="I52" i="2" a="1"/>
  <c r="I52" i="2" s="1"/>
  <c r="J52" i="2" a="1"/>
  <c r="J52" i="2" s="1"/>
  <c r="K52" i="2" a="1"/>
  <c r="K52" i="2" s="1"/>
  <c r="L52" i="2" a="1"/>
  <c r="L52" i="2" s="1"/>
  <c r="M52" i="2" a="1"/>
  <c r="M52" i="2" s="1"/>
  <c r="N52" i="2" a="1"/>
  <c r="N52" i="2" s="1"/>
  <c r="O52" i="2" a="1"/>
  <c r="O52" i="2" s="1"/>
  <c r="P52" i="2" a="1"/>
  <c r="P52" i="2" s="1"/>
  <c r="Q52" i="2" a="1"/>
  <c r="Q52" i="2" s="1"/>
  <c r="R52" i="2" a="1"/>
  <c r="R52" i="2" s="1"/>
  <c r="S52" i="2" a="1"/>
  <c r="S52" i="2" s="1"/>
  <c r="T52" i="2" a="1"/>
  <c r="T52" i="2" s="1"/>
  <c r="U52" i="2" a="1"/>
  <c r="U52" i="2" s="1"/>
  <c r="V52" i="2" a="1"/>
  <c r="V52" i="2" s="1"/>
  <c r="W52" i="2" a="1"/>
  <c r="W52" i="2" s="1"/>
  <c r="X52" i="2" a="1"/>
  <c r="X52" i="2" s="1"/>
  <c r="Y52" i="2" a="1"/>
  <c r="Y52" i="2" s="1"/>
  <c r="Z52" i="2" a="1"/>
  <c r="Z52" i="2" s="1"/>
  <c r="AA52" i="2" a="1"/>
  <c r="AA52" i="2" s="1"/>
  <c r="AB52" i="2" a="1"/>
  <c r="AB52" i="2" s="1"/>
  <c r="AC52" i="2" a="1"/>
  <c r="AC52" i="2" s="1"/>
  <c r="AD52" i="2" a="1"/>
  <c r="AD52" i="2" s="1"/>
  <c r="AE52" i="2" a="1"/>
  <c r="AE52" i="2" s="1"/>
  <c r="AF52" i="2" a="1"/>
  <c r="AF52" i="2" s="1"/>
  <c r="AG52" i="2" a="1"/>
  <c r="AG52" i="2" s="1"/>
  <c r="AH52" i="2" a="1"/>
  <c r="AH52" i="2" s="1"/>
  <c r="AI52" i="2" a="1"/>
  <c r="AI52" i="2" s="1"/>
  <c r="AJ52" i="2" a="1"/>
  <c r="AJ52" i="2" s="1"/>
  <c r="AK52" i="2" a="1"/>
  <c r="AK52" i="2" s="1"/>
  <c r="AL52" i="2" a="1"/>
  <c r="AL52" i="2" s="1"/>
  <c r="AM52" i="2" a="1"/>
  <c r="AM52" i="2" s="1"/>
  <c r="AN52" i="2" a="1"/>
  <c r="AN52" i="2" s="1"/>
  <c r="AO52" i="2" a="1"/>
  <c r="AO52" i="2" s="1"/>
  <c r="AP52" i="2" a="1"/>
  <c r="AP52" i="2" s="1"/>
  <c r="AQ52" i="2" a="1"/>
  <c r="AQ52" i="2" s="1"/>
  <c r="AR52" i="2" a="1"/>
  <c r="AR52" i="2" s="1"/>
  <c r="AS52" i="2" a="1"/>
  <c r="AS52" i="2" s="1"/>
  <c r="AT52" i="2" a="1"/>
  <c r="AT52" i="2" s="1"/>
  <c r="AU52" i="2" a="1"/>
  <c r="AU52" i="2" s="1"/>
  <c r="AV52" i="2" a="1"/>
  <c r="AV52" i="2" s="1"/>
  <c r="AW52" i="2" a="1"/>
  <c r="AW52" i="2" s="1"/>
  <c r="AX52" i="2" a="1"/>
  <c r="AX52" i="2" s="1"/>
  <c r="AY52" i="2" a="1"/>
  <c r="AY52" i="2" s="1"/>
  <c r="AZ52" i="2" a="1"/>
  <c r="AZ52" i="2" s="1"/>
  <c r="BA52" i="2" a="1"/>
  <c r="BA52" i="2" s="1"/>
  <c r="BB52" i="2" a="1"/>
  <c r="BB52" i="2" s="1"/>
  <c r="BC52" i="2" a="1"/>
  <c r="BC52" i="2" s="1"/>
  <c r="BD52" i="2" a="1"/>
  <c r="BD52" i="2" s="1"/>
  <c r="BE52" i="2" a="1"/>
  <c r="BE52" i="2" s="1"/>
  <c r="BF52" i="2" a="1"/>
  <c r="BF52" i="2" s="1"/>
  <c r="BG52" i="2" a="1"/>
  <c r="BG52" i="2" s="1"/>
  <c r="BH52" i="2" a="1"/>
  <c r="BH52" i="2" s="1"/>
  <c r="BI52" i="2" a="1"/>
  <c r="BI52" i="2" s="1"/>
  <c r="F52" i="2" a="1"/>
  <c r="F52" i="2" s="1"/>
  <c r="E77" i="2" l="1"/>
  <c r="D77" i="2"/>
  <c r="E75" i="2"/>
  <c r="D75" i="2"/>
  <c r="F19" i="8"/>
  <c r="G57" i="2"/>
  <c r="H57" i="2"/>
  <c r="I57" i="2"/>
  <c r="J57" i="2"/>
  <c r="K57" i="2"/>
  <c r="L57" i="2"/>
  <c r="M57" i="2"/>
  <c r="N57" i="2"/>
  <c r="O57" i="2"/>
  <c r="P57" i="2"/>
  <c r="Q57" i="2"/>
  <c r="R57" i="2"/>
  <c r="S57" i="2"/>
  <c r="T57" i="2"/>
  <c r="U57" i="2"/>
  <c r="V57" i="2"/>
  <c r="W57" i="2"/>
  <c r="X57" i="2"/>
  <c r="Y57" i="2"/>
  <c r="Z57" i="2"/>
  <c r="AA57" i="2"/>
  <c r="AB57" i="2"/>
  <c r="AC57" i="2"/>
  <c r="AD57" i="2"/>
  <c r="AE57" i="2"/>
  <c r="AF57" i="2"/>
  <c r="AG57" i="2"/>
  <c r="AH57" i="2"/>
  <c r="AI57" i="2"/>
  <c r="AJ57" i="2"/>
  <c r="AK57" i="2"/>
  <c r="AL57" i="2"/>
  <c r="AM57" i="2"/>
  <c r="AN57" i="2"/>
  <c r="AO57" i="2"/>
  <c r="AP57" i="2"/>
  <c r="AQ57" i="2"/>
  <c r="AR57" i="2"/>
  <c r="AS57" i="2"/>
  <c r="AT57" i="2"/>
  <c r="AU57" i="2"/>
  <c r="AV57" i="2"/>
  <c r="AW57" i="2"/>
  <c r="AX57" i="2"/>
  <c r="AX59" i="2" s="1"/>
  <c r="AY57" i="2"/>
  <c r="AZ57" i="2"/>
  <c r="BA57" i="2"/>
  <c r="BB57" i="2"/>
  <c r="BC57" i="2"/>
  <c r="BD57" i="2"/>
  <c r="BE57" i="2"/>
  <c r="BF57" i="2"/>
  <c r="BG57" i="2"/>
  <c r="BH57" i="2"/>
  <c r="BI57" i="2"/>
  <c r="G51" i="2"/>
  <c r="H51" i="2"/>
  <c r="I51" i="2"/>
  <c r="J51" i="2"/>
  <c r="K51" i="2"/>
  <c r="L51" i="2"/>
  <c r="M51" i="2"/>
  <c r="N51" i="2"/>
  <c r="O51" i="2"/>
  <c r="P51" i="2"/>
  <c r="Q51" i="2"/>
  <c r="R51" i="2"/>
  <c r="S51" i="2"/>
  <c r="T51" i="2"/>
  <c r="U51" i="2"/>
  <c r="V51" i="2"/>
  <c r="W51" i="2"/>
  <c r="X51" i="2"/>
  <c r="Y51" i="2"/>
  <c r="Z51" i="2"/>
  <c r="AA51" i="2"/>
  <c r="AB51" i="2"/>
  <c r="AC51" i="2"/>
  <c r="AD51" i="2"/>
  <c r="AE51" i="2"/>
  <c r="AF51" i="2"/>
  <c r="AG51" i="2"/>
  <c r="AH51" i="2"/>
  <c r="AI51" i="2"/>
  <c r="AI53" i="2" s="1"/>
  <c r="AJ51" i="2"/>
  <c r="AK51" i="2"/>
  <c r="AL51" i="2"/>
  <c r="AM51" i="2"/>
  <c r="AN51" i="2"/>
  <c r="AO51" i="2"/>
  <c r="AP51" i="2"/>
  <c r="AQ51" i="2"/>
  <c r="AR51" i="2"/>
  <c r="AS51" i="2"/>
  <c r="AT51" i="2"/>
  <c r="AU51" i="2"/>
  <c r="AV51" i="2"/>
  <c r="AW51" i="2"/>
  <c r="AX51" i="2"/>
  <c r="AY51" i="2"/>
  <c r="AZ51" i="2"/>
  <c r="BA51" i="2"/>
  <c r="BB51" i="2"/>
  <c r="BC51" i="2"/>
  <c r="BD51" i="2"/>
  <c r="BE51" i="2"/>
  <c r="BF51" i="2"/>
  <c r="BG51" i="2"/>
  <c r="BH51" i="2"/>
  <c r="BI51" i="2"/>
  <c r="F57" i="2"/>
  <c r="F51" i="2"/>
  <c r="AX16" i="7"/>
  <c r="AY16" i="7"/>
  <c r="AZ16" i="7"/>
  <c r="BA16" i="7"/>
  <c r="BB16" i="7"/>
  <c r="BC16" i="7"/>
  <c r="BD16" i="7"/>
  <c r="BE16" i="7"/>
  <c r="BF16" i="7"/>
  <c r="BG16" i="7"/>
  <c r="AX20" i="7"/>
  <c r="AY20" i="7"/>
  <c r="AZ20" i="7"/>
  <c r="BA20" i="7"/>
  <c r="BB20" i="7"/>
  <c r="BC20" i="7"/>
  <c r="BD20" i="7"/>
  <c r="BE20" i="7"/>
  <c r="BF20" i="7"/>
  <c r="BG20" i="7"/>
  <c r="AX24" i="7"/>
  <c r="AY24" i="7"/>
  <c r="AZ24" i="7"/>
  <c r="BA24" i="7"/>
  <c r="BB24" i="7"/>
  <c r="BC24" i="7"/>
  <c r="BD24" i="7"/>
  <c r="BE24" i="7"/>
  <c r="BF24" i="7"/>
  <c r="BG24" i="7"/>
  <c r="AY29" i="5"/>
  <c r="AZ29" i="5"/>
  <c r="BA29" i="5"/>
  <c r="BB29" i="5"/>
  <c r="BC29" i="5"/>
  <c r="BD29" i="5"/>
  <c r="BE29" i="5"/>
  <c r="BF29" i="5"/>
  <c r="BG29" i="5"/>
  <c r="BH29" i="5"/>
  <c r="BE11" i="7"/>
  <c r="BF11" i="7"/>
  <c r="BG11" i="7"/>
  <c r="C2" i="8"/>
  <c r="C2" i="7"/>
  <c r="C2" i="5"/>
  <c r="F15" i="8" l="1"/>
  <c r="F13" i="8"/>
  <c r="E76" i="2"/>
  <c r="D76" i="2"/>
  <c r="D74" i="2"/>
  <c r="E74" i="2"/>
  <c r="BG65" i="2"/>
  <c r="BI65" i="2"/>
  <c r="BH65" i="2"/>
  <c r="BF65" i="2"/>
  <c r="BD65" i="2"/>
  <c r="AZ65" i="2"/>
  <c r="BE65" i="2"/>
  <c r="BA65" i="2"/>
  <c r="BB65" i="2"/>
  <c r="BC65" i="2"/>
  <c r="BC12" i="7"/>
  <c r="BB12" i="7"/>
  <c r="AZ12" i="7"/>
  <c r="H59" i="2"/>
  <c r="AI59" i="2"/>
  <c r="AY59" i="2"/>
  <c r="Z53" i="2"/>
  <c r="V53" i="2"/>
  <c r="M53" i="2"/>
  <c r="AM53" i="2"/>
  <c r="Y53" i="2"/>
  <c r="AN53" i="2"/>
  <c r="W59" i="2"/>
  <c r="L53" i="2"/>
  <c r="AA53" i="2"/>
  <c r="M59" i="2"/>
  <c r="K53" i="2"/>
  <c r="AJ53" i="2"/>
  <c r="W53" i="2"/>
  <c r="BA59" i="2"/>
  <c r="I53" i="2"/>
  <c r="AW59" i="2"/>
  <c r="Y59" i="2"/>
  <c r="O53" i="2"/>
  <c r="BF53" i="2"/>
  <c r="AD53" i="2"/>
  <c r="U59" i="2"/>
  <c r="I59" i="2"/>
  <c r="G59" i="2"/>
  <c r="AL53" i="2"/>
  <c r="AY53" i="2"/>
  <c r="AW53" i="2"/>
  <c r="AK53" i="2"/>
  <c r="X53" i="2"/>
  <c r="AB59" i="2"/>
  <c r="AQ53" i="2"/>
  <c r="G53" i="2"/>
  <c r="T53" i="2"/>
  <c r="AA59" i="2"/>
  <c r="BA53" i="2"/>
  <c r="U53" i="2"/>
  <c r="J53" i="2"/>
  <c r="AO59" i="2"/>
  <c r="BB59" i="2"/>
  <c r="AP59" i="2"/>
  <c r="BE53" i="2"/>
  <c r="AN59" i="2"/>
  <c r="BC59" i="2"/>
  <c r="AG59" i="2"/>
  <c r="AP53" i="2"/>
  <c r="BI53" i="2"/>
  <c r="BC53" i="2"/>
  <c r="BB53" i="2"/>
  <c r="AO53" i="2"/>
  <c r="AC53" i="2"/>
  <c r="AK59" i="2"/>
  <c r="V59" i="2"/>
  <c r="AJ59" i="2"/>
  <c r="AH53" i="2"/>
  <c r="AG53" i="2"/>
  <c r="BH53" i="2"/>
  <c r="AT53" i="2"/>
  <c r="AF53" i="2"/>
  <c r="R53" i="2"/>
  <c r="AL59" i="2"/>
  <c r="AV53" i="2"/>
  <c r="K59" i="2"/>
  <c r="AU53" i="2"/>
  <c r="S53" i="2"/>
  <c r="BG53" i="2"/>
  <c r="AS53" i="2"/>
  <c r="AE53" i="2"/>
  <c r="N53" i="2"/>
  <c r="Z59" i="2"/>
  <c r="BD12" i="7"/>
  <c r="AU59" i="2"/>
  <c r="BA12" i="7"/>
  <c r="BH59" i="2"/>
  <c r="AT59" i="2"/>
  <c r="AF59" i="2"/>
  <c r="R59" i="2"/>
  <c r="T59" i="2"/>
  <c r="BI59" i="2"/>
  <c r="AX53" i="2"/>
  <c r="N59" i="2"/>
  <c r="AS59" i="2"/>
  <c r="AE59" i="2"/>
  <c r="AY12" i="7"/>
  <c r="AR59" i="2"/>
  <c r="AD59" i="2"/>
  <c r="AV59" i="2"/>
  <c r="AX12" i="7"/>
  <c r="BE59" i="2"/>
  <c r="AQ59" i="2"/>
  <c r="AC59" i="2"/>
  <c r="O59" i="2"/>
  <c r="AB53" i="2"/>
  <c r="AM59" i="2"/>
  <c r="L59" i="2"/>
  <c r="AH59" i="2"/>
  <c r="S59" i="2"/>
  <c r="H53" i="2"/>
  <c r="BD59" i="2"/>
  <c r="Q59" i="2"/>
  <c r="BG59" i="2"/>
  <c r="P59" i="2"/>
  <c r="BF59" i="2"/>
  <c r="AZ59" i="2"/>
  <c r="X59" i="2"/>
  <c r="J59" i="2"/>
  <c r="AR53" i="2"/>
  <c r="P53" i="2"/>
  <c r="Q53" i="2"/>
  <c r="BD53" i="2"/>
  <c r="BD66" i="2"/>
  <c r="AZ53" i="2"/>
  <c r="AZ66" i="2"/>
  <c r="BC66" i="2"/>
  <c r="BH66" i="2"/>
  <c r="BF66" i="2"/>
  <c r="BG66" i="2"/>
  <c r="BI66" i="2"/>
  <c r="BA66" i="2"/>
  <c r="BB66" i="2"/>
  <c r="BE66" i="2"/>
  <c r="BD11" i="7"/>
  <c r="BG12" i="7"/>
  <c r="BC11" i="7"/>
  <c r="BF12" i="7"/>
  <c r="BB11" i="7"/>
  <c r="BE12" i="7"/>
  <c r="BA11" i="7"/>
  <c r="AZ11" i="7"/>
  <c r="AY11" i="7"/>
  <c r="AX11" i="7"/>
  <c r="F12" i="8" l="1"/>
  <c r="E78" i="2"/>
  <c r="F14" i="8"/>
  <c r="BF67" i="2"/>
  <c r="BD10" i="7" s="1" a="1"/>
  <c r="BD10" i="7" s="1"/>
  <c r="BI67" i="2"/>
  <c r="BG10" i="7" s="1" a="1"/>
  <c r="BG10" i="7" s="1"/>
  <c r="BD67" i="2"/>
  <c r="BB10" i="7" s="1" a="1"/>
  <c r="BB10" i="7" s="1"/>
  <c r="AZ67" i="2"/>
  <c r="AX10" i="7" s="1" a="1"/>
  <c r="AX10" i="7" s="1"/>
  <c r="BH67" i="2"/>
  <c r="BF10" i="7" s="1" a="1"/>
  <c r="BF10" i="7" s="1"/>
  <c r="BC67" i="2"/>
  <c r="BA10" i="7" s="1" a="1"/>
  <c r="BA10" i="7" s="1"/>
  <c r="BB67" i="2"/>
  <c r="AZ10" i="7" s="1" a="1"/>
  <c r="AZ10" i="7" s="1"/>
  <c r="BA67" i="2"/>
  <c r="AY10" i="7" s="1" a="1"/>
  <c r="AY10" i="7" s="1"/>
  <c r="BG67" i="2"/>
  <c r="BE10" i="7" s="1" a="1"/>
  <c r="BE10" i="7" s="1"/>
  <c r="BE67" i="2"/>
  <c r="BC10" i="7" s="1" a="1"/>
  <c r="BC10" i="7" s="1"/>
  <c r="F10" i="8"/>
  <c r="F18" i="8"/>
  <c r="F16" i="8"/>
  <c r="AX13" i="7" l="1"/>
  <c r="BD13" i="7"/>
  <c r="BG13" i="7"/>
  <c r="BF13" i="7"/>
  <c r="BB13" i="7"/>
  <c r="BA13" i="7"/>
  <c r="BC13" i="7"/>
  <c r="BE13" i="7"/>
  <c r="AZ13" i="7"/>
  <c r="AY13" i="7"/>
  <c r="F17" i="8"/>
  <c r="F25" i="8" s="1"/>
  <c r="E73" i="2" l="1"/>
  <c r="E72" i="2"/>
  <c r="AO29" i="5" l="1"/>
  <c r="AP29" i="5"/>
  <c r="AQ29" i="5"/>
  <c r="AR29" i="5"/>
  <c r="AS29" i="5"/>
  <c r="AT29" i="5"/>
  <c r="AU29" i="5"/>
  <c r="AV29" i="5"/>
  <c r="AW29" i="5"/>
  <c r="AX29" i="5"/>
  <c r="AN11" i="7"/>
  <c r="AO11" i="7"/>
  <c r="AP11" i="7"/>
  <c r="AQ11" i="7"/>
  <c r="AR11" i="7"/>
  <c r="AS11" i="7"/>
  <c r="AT11" i="7"/>
  <c r="AU11" i="7"/>
  <c r="AV11" i="7"/>
  <c r="AW12" i="7" l="1"/>
  <c r="AN12" i="7"/>
  <c r="AQ12" i="7"/>
  <c r="AO12" i="7"/>
  <c r="AV12" i="7"/>
  <c r="AU12" i="7"/>
  <c r="AT12" i="7"/>
  <c r="AW11" i="7"/>
  <c r="AS12" i="7"/>
  <c r="AR12" i="7"/>
  <c r="AP12" i="7"/>
  <c r="AT66" i="2" l="1"/>
  <c r="AS66" i="2"/>
  <c r="AQ66" i="2"/>
  <c r="AY66" i="2"/>
  <c r="AO66" i="2"/>
  <c r="AM66" i="2"/>
  <c r="AP66" i="2"/>
  <c r="AV66" i="2"/>
  <c r="AX66" i="2"/>
  <c r="AN66" i="2"/>
  <c r="AW66" i="2"/>
  <c r="AU66" i="2"/>
  <c r="AK66" i="2"/>
  <c r="AJ66" i="2"/>
  <c r="AI66" i="2"/>
  <c r="AH66" i="2"/>
  <c r="AG66" i="2"/>
  <c r="AF66" i="2"/>
  <c r="AL66" i="2"/>
  <c r="AR66" i="2"/>
  <c r="AY65" i="2" l="1"/>
  <c r="AY67" i="2" s="1"/>
  <c r="AW10" i="7" s="1" a="1"/>
  <c r="AW10" i="7" s="1"/>
  <c r="AX65" i="2"/>
  <c r="AX67" i="2" s="1"/>
  <c r="AV10" i="7" s="1" a="1"/>
  <c r="AV10" i="7" s="1"/>
  <c r="AS65" i="2"/>
  <c r="AS67" i="2" s="1"/>
  <c r="AQ10" i="7" s="1" a="1"/>
  <c r="AQ10" i="7" s="1"/>
  <c r="AW65" i="2"/>
  <c r="AW67" i="2" s="1"/>
  <c r="AU10" i="7" s="1" a="1"/>
  <c r="AU10" i="7" s="1"/>
  <c r="AP65" i="2"/>
  <c r="AP67" i="2" s="1"/>
  <c r="AN10" i="7" s="1" a="1"/>
  <c r="AN10" i="7" s="1"/>
  <c r="AV65" i="2"/>
  <c r="AV67" i="2" s="1"/>
  <c r="AT10" i="7" s="1" a="1"/>
  <c r="AT10" i="7" s="1"/>
  <c r="AQ65" i="2"/>
  <c r="AQ67" i="2" s="1"/>
  <c r="AO10" i="7" s="1" a="1"/>
  <c r="AO10" i="7" s="1"/>
  <c r="AU65" i="2"/>
  <c r="AU67" i="2" s="1"/>
  <c r="AS10" i="7" s="1" a="1"/>
  <c r="AS10" i="7" s="1"/>
  <c r="AT65" i="2"/>
  <c r="AT67" i="2" s="1"/>
  <c r="AR10" i="7" s="1" a="1"/>
  <c r="AR10" i="7" s="1"/>
  <c r="AR65" i="2"/>
  <c r="AR67" i="2" s="1"/>
  <c r="AP10" i="7" s="1" a="1"/>
  <c r="AP10" i="7" s="1"/>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L29" i="5"/>
  <c r="K29" i="5"/>
  <c r="J29" i="5"/>
  <c r="I29" i="5"/>
  <c r="H29" i="5"/>
  <c r="G29" i="5"/>
  <c r="F29" i="5"/>
  <c r="D33" i="7" l="1"/>
  <c r="D38" i="7" a="1"/>
  <c r="D38" i="7" s="1"/>
  <c r="AS13" i="7"/>
  <c r="AO13" i="7"/>
  <c r="AT13" i="7"/>
  <c r="AN13" i="7"/>
  <c r="AP13" i="7"/>
  <c r="AU13" i="7"/>
  <c r="AQ13" i="7"/>
  <c r="AR13" i="7"/>
  <c r="AV13" i="7"/>
  <c r="AW13" i="7"/>
  <c r="AU16" i="7"/>
  <c r="AU20" i="7"/>
  <c r="AU24" i="7"/>
  <c r="AT16" i="7"/>
  <c r="AT20" i="7"/>
  <c r="AT24" i="7"/>
  <c r="AS16" i="7"/>
  <c r="AS20" i="7"/>
  <c r="AS24" i="7"/>
  <c r="AV16" i="7"/>
  <c r="AV24" i="7"/>
  <c r="AV20" i="7"/>
  <c r="AR16" i="7"/>
  <c r="AR20" i="7"/>
  <c r="AR24" i="7"/>
  <c r="AN20" i="7"/>
  <c r="AN16" i="7"/>
  <c r="AN24" i="7"/>
  <c r="AP20" i="7"/>
  <c r="AP24" i="7"/>
  <c r="AP16" i="7"/>
  <c r="AO20" i="7"/>
  <c r="AO16" i="7"/>
  <c r="AO24" i="7"/>
  <c r="AQ16" i="7"/>
  <c r="AQ20" i="7"/>
  <c r="AQ24" i="7"/>
  <c r="AW24" i="7"/>
  <c r="AW16" i="7"/>
  <c r="AW20" i="7"/>
  <c r="AE12" i="7"/>
  <c r="AE11" i="7"/>
  <c r="AA11" i="7"/>
  <c r="AA12" i="7"/>
  <c r="W11" i="7"/>
  <c r="W12" i="7"/>
  <c r="I12" i="7"/>
  <c r="I11" i="7"/>
  <c r="AD11" i="7"/>
  <c r="AD12" i="7"/>
  <c r="O11" i="7"/>
  <c r="O12" i="7"/>
  <c r="H12" i="7"/>
  <c r="H11" i="7"/>
  <c r="P11" i="7"/>
  <c r="P12" i="7"/>
  <c r="AB11" i="7"/>
  <c r="AB12" i="7"/>
  <c r="L11" i="7"/>
  <c r="L12" i="7"/>
  <c r="K11" i="7"/>
  <c r="K12" i="7"/>
  <c r="AL11" i="7"/>
  <c r="AL12" i="7"/>
  <c r="J11" i="7"/>
  <c r="J12" i="7"/>
  <c r="AI12" i="7"/>
  <c r="AI11" i="7"/>
  <c r="AH12" i="7"/>
  <c r="AH11" i="7"/>
  <c r="AG12" i="7"/>
  <c r="AG11" i="7"/>
  <c r="S12" i="7"/>
  <c r="S11" i="7"/>
  <c r="E12" i="7"/>
  <c r="E11" i="7"/>
  <c r="Q12" i="7"/>
  <c r="Q11" i="7"/>
  <c r="AC11" i="7"/>
  <c r="AC12" i="7"/>
  <c r="N11" i="7"/>
  <c r="N12" i="7"/>
  <c r="M11" i="7"/>
  <c r="M12" i="7"/>
  <c r="Z11" i="7"/>
  <c r="Z12" i="7"/>
  <c r="D11" i="7"/>
  <c r="D12" i="7"/>
  <c r="Y11" i="7"/>
  <c r="Y12" i="7"/>
  <c r="X11" i="7"/>
  <c r="X12" i="7"/>
  <c r="AK12" i="7"/>
  <c r="AK11" i="7"/>
  <c r="AJ12" i="7"/>
  <c r="AJ11" i="7"/>
  <c r="V12" i="7"/>
  <c r="V11" i="7"/>
  <c r="U12" i="7"/>
  <c r="U11" i="7"/>
  <c r="G12" i="7"/>
  <c r="G11" i="7"/>
  <c r="T12" i="7"/>
  <c r="T11" i="7"/>
  <c r="F12" i="7"/>
  <c r="F11" i="7"/>
  <c r="AF12" i="7"/>
  <c r="AF11" i="7"/>
  <c r="R12" i="7"/>
  <c r="R11" i="7"/>
  <c r="AM11" i="7"/>
  <c r="AM12" i="7"/>
  <c r="D34" i="7" l="1" a="1"/>
  <c r="D34" i="7" s="1"/>
  <c r="D39" i="7"/>
  <c r="F21" i="8" s="1"/>
  <c r="D37" i="7" a="1"/>
  <c r="D37" i="7" s="1"/>
  <c r="D35" i="7" a="1"/>
  <c r="D35" i="7" s="1"/>
  <c r="D40" i="7"/>
  <c r="F22" i="8" s="1"/>
  <c r="F20" i="8"/>
  <c r="F11" i="8"/>
  <c r="G65" i="2"/>
  <c r="G66" i="2"/>
  <c r="F66" i="2"/>
  <c r="I66" i="2" l="1"/>
  <c r="H66" i="2"/>
  <c r="N66" i="2"/>
  <c r="M66" i="2"/>
  <c r="L66" i="2"/>
  <c r="K66" i="2"/>
  <c r="J66" i="2"/>
  <c r="I65" i="2"/>
  <c r="AO65" i="2"/>
  <c r="AO67" i="2" s="1"/>
  <c r="AM10" i="7" s="1" a="1"/>
  <c r="AM10" i="7" s="1"/>
  <c r="V65" i="2"/>
  <c r="U65" i="2"/>
  <c r="AA65" i="2"/>
  <c r="M65" i="2"/>
  <c r="H65" i="2"/>
  <c r="AB65" i="2"/>
  <c r="N65" i="2"/>
  <c r="AK65" i="2"/>
  <c r="AK67" i="2" s="1"/>
  <c r="AI10" i="7" s="1" a="1"/>
  <c r="AI10" i="7" s="1"/>
  <c r="AI65" i="2"/>
  <c r="AI67" i="2" s="1"/>
  <c r="AG10" i="7" s="1" a="1"/>
  <c r="AG10" i="7" s="1"/>
  <c r="W65" i="2"/>
  <c r="AJ65" i="2"/>
  <c r="AJ67" i="2" s="1"/>
  <c r="AH10" i="7" s="1" a="1"/>
  <c r="AH10" i="7" s="1"/>
  <c r="AH65" i="2"/>
  <c r="AH67" i="2" s="1"/>
  <c r="AF10" i="7" s="1" a="1"/>
  <c r="AF10" i="7" s="1"/>
  <c r="AF65" i="2"/>
  <c r="AF67" i="2" s="1"/>
  <c r="AD10" i="7" s="1" a="1"/>
  <c r="AD10" i="7" s="1"/>
  <c r="F65" i="2"/>
  <c r="AD65" i="2"/>
  <c r="P65" i="2"/>
  <c r="W66" i="2"/>
  <c r="AN65" i="2"/>
  <c r="AN67" i="2" s="1"/>
  <c r="AL10" i="7" s="1" a="1"/>
  <c r="AL10" i="7" s="1"/>
  <c r="Z65" i="2"/>
  <c r="L65" i="2"/>
  <c r="AD66" i="2"/>
  <c r="AM65" i="2"/>
  <c r="AM67" i="2" s="1"/>
  <c r="AK10" i="7" s="1" a="1"/>
  <c r="AK10" i="7" s="1"/>
  <c r="Y65" i="2"/>
  <c r="K65" i="2"/>
  <c r="AE65" i="2"/>
  <c r="AC65" i="2"/>
  <c r="O65" i="2"/>
  <c r="AG65" i="2"/>
  <c r="AG67" i="2" s="1"/>
  <c r="AE10" i="7" s="1" a="1"/>
  <c r="AE10" i="7" s="1"/>
  <c r="T65" i="2"/>
  <c r="U66" i="2"/>
  <c r="Q65" i="2"/>
  <c r="AE66" i="2"/>
  <c r="AC66" i="2"/>
  <c r="Q66" i="2"/>
  <c r="V66" i="2"/>
  <c r="R65" i="2"/>
  <c r="AA66" i="2"/>
  <c r="O66" i="2"/>
  <c r="AL65" i="2"/>
  <c r="AL67" i="2" s="1"/>
  <c r="AJ10" i="7" s="1" a="1"/>
  <c r="AJ10" i="7" s="1"/>
  <c r="X65" i="2"/>
  <c r="J65" i="2"/>
  <c r="Y66" i="2"/>
  <c r="S65" i="2"/>
  <c r="AB66" i="2"/>
  <c r="Z66" i="2"/>
  <c r="P66" i="2"/>
  <c r="F59" i="2"/>
  <c r="T66" i="2"/>
  <c r="S66" i="2"/>
  <c r="X66" i="2"/>
  <c r="F53" i="2"/>
  <c r="R66" i="2"/>
  <c r="AL13" i="7" l="1"/>
  <c r="AM13" i="7"/>
  <c r="AH13" i="7"/>
  <c r="AD13" i="7"/>
  <c r="AG13" i="7"/>
  <c r="AF13" i="7"/>
  <c r="AK13" i="7"/>
  <c r="AE13" i="7"/>
  <c r="AJ13" i="7"/>
  <c r="AI13" i="7"/>
  <c r="AM20" i="7"/>
  <c r="AM24" i="7"/>
  <c r="AM16" i="7"/>
  <c r="AL24" i="7"/>
  <c r="AL20" i="7"/>
  <c r="AL16" i="7"/>
  <c r="AF20" i="7"/>
  <c r="AF16" i="7"/>
  <c r="AF24" i="7"/>
  <c r="AH16" i="7"/>
  <c r="AH20" i="7"/>
  <c r="AH24" i="7"/>
  <c r="AE16" i="7"/>
  <c r="AE20" i="7"/>
  <c r="AE24" i="7"/>
  <c r="AD16" i="7"/>
  <c r="AD20" i="7"/>
  <c r="AD24" i="7"/>
  <c r="AJ24" i="7"/>
  <c r="AJ16" i="7"/>
  <c r="AJ20" i="7"/>
  <c r="AG24" i="7"/>
  <c r="AG16" i="7"/>
  <c r="AG20" i="7"/>
  <c r="AK24" i="7"/>
  <c r="AK20" i="7"/>
  <c r="AK16" i="7"/>
  <c r="AI24" i="7"/>
  <c r="AI16" i="7"/>
  <c r="AI20" i="7"/>
  <c r="F67" i="2"/>
  <c r="D10" i="7" s="1" a="1"/>
  <c r="D10" i="7" s="1"/>
  <c r="O67" i="2"/>
  <c r="M10" i="7" s="1" a="1"/>
  <c r="M10" i="7" s="1"/>
  <c r="AC67" i="2"/>
  <c r="AA10" i="7" s="1" a="1"/>
  <c r="AA10" i="7" s="1"/>
  <c r="H67" i="2"/>
  <c r="F10" i="7" s="1" a="1"/>
  <c r="F10" i="7" s="1"/>
  <c r="V67" i="2"/>
  <c r="T10" i="7" s="1" a="1"/>
  <c r="T10" i="7" s="1"/>
  <c r="P67" i="2"/>
  <c r="N10" i="7" s="1" a="1"/>
  <c r="N10" i="7" s="1"/>
  <c r="I67" i="2"/>
  <c r="G10" i="7" s="1" a="1"/>
  <c r="G10" i="7" s="1"/>
  <c r="W67" i="2"/>
  <c r="U10" i="7" s="1" a="1"/>
  <c r="U10" i="7" s="1"/>
  <c r="Q67" i="2"/>
  <c r="O10" i="7" s="1" a="1"/>
  <c r="O10" i="7" s="1"/>
  <c r="AE67" i="2"/>
  <c r="AC10" i="7" s="1" a="1"/>
  <c r="AC10" i="7" s="1"/>
  <c r="J67" i="2"/>
  <c r="H10" i="7" s="1" a="1"/>
  <c r="H10" i="7" s="1"/>
  <c r="R67" i="2"/>
  <c r="P10" i="7" s="1" a="1"/>
  <c r="P10" i="7" s="1"/>
  <c r="K67" i="2"/>
  <c r="I10" i="7" s="1" a="1"/>
  <c r="I10" i="7" s="1"/>
  <c r="Y67" i="2"/>
  <c r="W10" i="7" s="1" a="1"/>
  <c r="W10" i="7" s="1"/>
  <c r="T67" i="2"/>
  <c r="R10" i="7" s="1" a="1"/>
  <c r="R10" i="7" s="1"/>
  <c r="N67" i="2"/>
  <c r="L10" i="7" s="1" a="1"/>
  <c r="L10" i="7" s="1"/>
  <c r="X67" i="2"/>
  <c r="V10" i="7" s="1" a="1"/>
  <c r="V10" i="7" s="1"/>
  <c r="L67" i="2"/>
  <c r="J10" i="7" s="1" a="1"/>
  <c r="J10" i="7" s="1"/>
  <c r="Z67" i="2"/>
  <c r="X10" i="7" s="1" a="1"/>
  <c r="X10" i="7" s="1"/>
  <c r="M67" i="2"/>
  <c r="K10" i="7" s="1" a="1"/>
  <c r="K10" i="7" s="1"/>
  <c r="AA67" i="2"/>
  <c r="Y10" i="7" s="1" a="1"/>
  <c r="Y10" i="7" s="1"/>
  <c r="AB67" i="2"/>
  <c r="Z10" i="7" s="1" a="1"/>
  <c r="Z10" i="7" s="1"/>
  <c r="AD67" i="2"/>
  <c r="AB10" i="7" s="1" a="1"/>
  <c r="AB10" i="7" s="1"/>
  <c r="G67" i="2"/>
  <c r="E10" i="7" s="1" a="1"/>
  <c r="E10" i="7" s="1"/>
  <c r="U67" i="2"/>
  <c r="S10" i="7" s="1" a="1"/>
  <c r="S10" i="7" s="1"/>
  <c r="S67" i="2"/>
  <c r="Q10" i="7" s="1" a="1"/>
  <c r="Q10" i="7" s="1"/>
  <c r="K13" i="7" l="1"/>
  <c r="R13" i="7"/>
  <c r="T13" i="7"/>
  <c r="V13" i="7"/>
  <c r="D13" i="7"/>
  <c r="J13" i="7"/>
  <c r="L13" i="7"/>
  <c r="AA13" i="7"/>
  <c r="M13" i="7"/>
  <c r="P13" i="7"/>
  <c r="S13" i="7"/>
  <c r="Q13" i="7"/>
  <c r="H13" i="7"/>
  <c r="AB13" i="7"/>
  <c r="O13" i="7"/>
  <c r="N13" i="7"/>
  <c r="I13" i="7"/>
  <c r="E13" i="7"/>
  <c r="AC13" i="7"/>
  <c r="U13" i="7"/>
  <c r="X13" i="7"/>
  <c r="F13" i="7"/>
  <c r="W13" i="7"/>
  <c r="Z13" i="7"/>
  <c r="Y13" i="7"/>
  <c r="G13" i="7"/>
  <c r="F9" i="8"/>
  <c r="Y15" i="7"/>
  <c r="Y23" i="7"/>
  <c r="Y19" i="7"/>
  <c r="E19" i="7"/>
  <c r="E23" i="7"/>
  <c r="E15" i="7"/>
  <c r="W15" i="7"/>
  <c r="W16" i="7" s="1"/>
  <c r="W19" i="7"/>
  <c r="W20" i="7" s="1"/>
  <c r="W23" i="7"/>
  <c r="W24" i="7" s="1"/>
  <c r="K19" i="7"/>
  <c r="K20" i="7" s="1"/>
  <c r="K15" i="7"/>
  <c r="K16" i="7" s="1"/>
  <c r="K23" i="7"/>
  <c r="K24" i="7" s="1"/>
  <c r="N15" i="7"/>
  <c r="N16" i="7" s="1"/>
  <c r="N19" i="7"/>
  <c r="N20" i="7" s="1"/>
  <c r="N23" i="7"/>
  <c r="N24" i="7" s="1"/>
  <c r="G23" i="7"/>
  <c r="G24" i="7" s="1"/>
  <c r="G19" i="7"/>
  <c r="G20" i="7" s="1"/>
  <c r="G15" i="7"/>
  <c r="G16" i="7" s="1"/>
  <c r="X15" i="7"/>
  <c r="X16" i="7" s="1"/>
  <c r="X23" i="7"/>
  <c r="X24" i="7" s="1"/>
  <c r="X19" i="7"/>
  <c r="X20" i="7" s="1"/>
  <c r="T19" i="7"/>
  <c r="T20" i="7" s="1"/>
  <c r="T15" i="7"/>
  <c r="T16" i="7" s="1"/>
  <c r="T23" i="7"/>
  <c r="T24" i="7" s="1"/>
  <c r="U23" i="7"/>
  <c r="U24" i="7" s="1"/>
  <c r="U19" i="7"/>
  <c r="U20" i="7" s="1"/>
  <c r="U15" i="7"/>
  <c r="U16" i="7" s="1"/>
  <c r="F23" i="7"/>
  <c r="F15" i="7"/>
  <c r="F19" i="7"/>
  <c r="R15" i="7"/>
  <c r="R16" i="7" s="1"/>
  <c r="R19" i="7"/>
  <c r="R20" i="7" s="1"/>
  <c r="R23" i="7"/>
  <c r="R24" i="7" s="1"/>
  <c r="S19" i="7"/>
  <c r="S20" i="7" s="1"/>
  <c r="S23" i="7"/>
  <c r="S24" i="7" s="1"/>
  <c r="S15" i="7"/>
  <c r="S16" i="7" s="1"/>
  <c r="O15" i="7"/>
  <c r="O16" i="7" s="1"/>
  <c r="O19" i="7"/>
  <c r="O20" i="7" s="1"/>
  <c r="O23" i="7"/>
  <c r="O24" i="7" s="1"/>
  <c r="I15" i="7"/>
  <c r="I16" i="7" s="1"/>
  <c r="I19" i="7"/>
  <c r="I20" i="7" s="1"/>
  <c r="I23" i="7"/>
  <c r="I24" i="7" s="1"/>
  <c r="Q15" i="7"/>
  <c r="Q16" i="7" s="1"/>
  <c r="Q19" i="7"/>
  <c r="Q20" i="7" s="1"/>
  <c r="Q23" i="7"/>
  <c r="Q24" i="7" s="1"/>
  <c r="P19" i="7"/>
  <c r="P20" i="7" s="1"/>
  <c r="P15" i="7"/>
  <c r="P16" i="7" s="1"/>
  <c r="P23" i="7"/>
  <c r="P24" i="7" s="1"/>
  <c r="H19" i="7"/>
  <c r="H20" i="7" s="1"/>
  <c r="H23" i="7"/>
  <c r="H24" i="7" s="1"/>
  <c r="H15" i="7"/>
  <c r="H16" i="7" s="1"/>
  <c r="J23" i="7"/>
  <c r="J24" i="7" s="1"/>
  <c r="J15" i="7"/>
  <c r="J16" i="7" s="1"/>
  <c r="J19" i="7"/>
  <c r="J20" i="7" s="1"/>
  <c r="V19" i="7"/>
  <c r="V20" i="7" s="1"/>
  <c r="V23" i="7"/>
  <c r="V24" i="7" s="1"/>
  <c r="V15" i="7"/>
  <c r="V16" i="7" s="1"/>
  <c r="L15" i="7"/>
  <c r="L16" i="7" s="1"/>
  <c r="L19" i="7"/>
  <c r="L20" i="7" s="1"/>
  <c r="L23" i="7"/>
  <c r="L24" i="7" s="1"/>
  <c r="M15" i="7"/>
  <c r="M16" i="7" s="1"/>
  <c r="M19" i="7"/>
  <c r="M20" i="7" s="1"/>
  <c r="M23" i="7"/>
  <c r="M24" i="7" s="1"/>
  <c r="AC16" i="7"/>
  <c r="AC20" i="7"/>
  <c r="AC24" i="7"/>
  <c r="Z20" i="7"/>
  <c r="Z24" i="7"/>
  <c r="Z16" i="7"/>
  <c r="AB16" i="7"/>
  <c r="AB20" i="7"/>
  <c r="AB24" i="7"/>
  <c r="AA20" i="7"/>
  <c r="AA24" i="7"/>
  <c r="AA16" i="7"/>
  <c r="Y24" i="7"/>
  <c r="Y16" i="7"/>
  <c r="Y20" i="7"/>
  <c r="D16" i="7"/>
  <c r="D24" i="7"/>
  <c r="D20" i="7"/>
  <c r="D21" i="7" s="1"/>
  <c r="F16" i="7" l="1"/>
  <c r="D46" i="7"/>
  <c r="F24" i="7"/>
  <c r="D56" i="7"/>
  <c r="D36" i="7" a="1"/>
  <c r="D36" i="7" s="1"/>
  <c r="D41" i="7"/>
  <c r="F20" i="7"/>
  <c r="D51" i="7"/>
  <c r="E16" i="7"/>
  <c r="E20" i="7"/>
  <c r="E24" i="7"/>
  <c r="D17" i="7"/>
  <c r="D25" i="7"/>
  <c r="D55" i="7" l="1"/>
  <c r="D54" i="7" a="1"/>
  <c r="D54" i="7" s="1"/>
  <c r="D45" i="7"/>
  <c r="D44" i="7" a="1"/>
  <c r="D44" i="7" s="1"/>
  <c r="D50" i="7"/>
  <c r="D49" i="7" a="1"/>
  <c r="D49" i="7" s="1"/>
  <c r="BE21" i="7"/>
  <c r="BE17" i="7"/>
  <c r="BE25" i="7"/>
  <c r="AK17" i="7"/>
  <c r="Y17" i="7"/>
  <c r="E17" i="7"/>
  <c r="AH17" i="7"/>
  <c r="AF17" i="7"/>
  <c r="J17" i="7"/>
  <c r="O17" i="7"/>
  <c r="G17" i="7"/>
  <c r="AE17" i="7"/>
  <c r="AY17" i="7"/>
  <c r="L17" i="7"/>
  <c r="AP17" i="7"/>
  <c r="U17" i="7"/>
  <c r="V17" i="7"/>
  <c r="S17" i="7"/>
  <c r="BC17" i="7"/>
  <c r="M17" i="7"/>
  <c r="H21" i="7"/>
  <c r="BD17" i="7"/>
  <c r="AL17" i="7"/>
  <c r="AT17" i="7"/>
  <c r="T17" i="7"/>
  <c r="AV17" i="7"/>
  <c r="F21" i="7"/>
  <c r="AT21" i="7"/>
  <c r="AV21" i="7"/>
  <c r="AJ17" i="7"/>
  <c r="AM17" i="7"/>
  <c r="Z17" i="7"/>
  <c r="AW17" i="7"/>
  <c r="R17" i="7"/>
  <c r="AN17" i="7"/>
  <c r="AG17" i="7"/>
  <c r="AA17" i="7"/>
  <c r="AU17" i="7"/>
  <c r="X17" i="7"/>
  <c r="AX17" i="7"/>
  <c r="AR17" i="7"/>
  <c r="AB17" i="7"/>
  <c r="W17" i="7"/>
  <c r="BG17" i="7"/>
  <c r="F17" i="7"/>
  <c r="BB17" i="7"/>
  <c r="H17" i="7"/>
  <c r="AC17" i="7"/>
  <c r="AS17" i="7"/>
  <c r="P17" i="7"/>
  <c r="Q17" i="7"/>
  <c r="AI17" i="7"/>
  <c r="AO17" i="7"/>
  <c r="AZ17" i="7"/>
  <c r="I17" i="7"/>
  <c r="AD17" i="7"/>
  <c r="K21" i="7"/>
  <c r="BF17" i="7"/>
  <c r="K17" i="7"/>
  <c r="N17" i="7"/>
  <c r="N21" i="7"/>
  <c r="AQ17" i="7"/>
  <c r="BA17" i="7"/>
  <c r="BF21" i="7"/>
  <c r="BD21" i="7"/>
  <c r="Y21" i="7"/>
  <c r="AY21" i="7"/>
  <c r="AB21" i="7"/>
  <c r="W21" i="7"/>
  <c r="I21" i="7"/>
  <c r="S25" i="7"/>
  <c r="V21" i="7"/>
  <c r="AC21" i="7"/>
  <c r="P21" i="7"/>
  <c r="AD21" i="7"/>
  <c r="J21" i="7"/>
  <c r="R21" i="7"/>
  <c r="AM21" i="7"/>
  <c r="AL21" i="7"/>
  <c r="AK21" i="7"/>
  <c r="AA21" i="7"/>
  <c r="T21" i="7"/>
  <c r="AG21" i="7"/>
  <c r="BA25" i="7"/>
  <c r="G21" i="7"/>
  <c r="F25" i="7"/>
  <c r="AK25" i="7"/>
  <c r="AE25" i="7"/>
  <c r="N25" i="7"/>
  <c r="L21" i="7"/>
  <c r="AS21" i="7"/>
  <c r="Q21" i="7"/>
  <c r="AW21" i="7"/>
  <c r="AX25" i="7"/>
  <c r="AA25" i="7"/>
  <c r="AH25" i="7"/>
  <c r="U25" i="7"/>
  <c r="AJ21" i="7"/>
  <c r="AI21" i="7"/>
  <c r="AN21" i="7"/>
  <c r="Z25" i="7"/>
  <c r="AE21" i="7"/>
  <c r="Z21" i="7"/>
  <c r="AP21" i="7"/>
  <c r="Q25" i="7"/>
  <c r="U21" i="7"/>
  <c r="AF21" i="7"/>
  <c r="AR21" i="7"/>
  <c r="AZ25" i="7"/>
  <c r="BF25" i="7"/>
  <c r="AO21" i="7"/>
  <c r="BD25" i="7"/>
  <c r="AX21" i="7"/>
  <c r="BG25" i="7"/>
  <c r="R25" i="7"/>
  <c r="AC25" i="7"/>
  <c r="AT25" i="7"/>
  <c r="M25" i="7"/>
  <c r="J25" i="7"/>
  <c r="Y25" i="7"/>
  <c r="L25" i="7"/>
  <c r="AR25" i="7"/>
  <c r="I25" i="7"/>
  <c r="AS25" i="7"/>
  <c r="X25" i="7"/>
  <c r="AM25" i="7"/>
  <c r="S21" i="7"/>
  <c r="O21" i="7"/>
  <c r="AN25" i="7"/>
  <c r="BG21" i="7"/>
  <c r="AW25" i="7"/>
  <c r="K25" i="7"/>
  <c r="AF25" i="7"/>
  <c r="V25" i="7"/>
  <c r="G25" i="7"/>
  <c r="AD25" i="7"/>
  <c r="P25" i="7"/>
  <c r="BA21" i="7"/>
  <c r="AI25" i="7"/>
  <c r="AJ25" i="7"/>
  <c r="X21" i="7"/>
  <c r="AH21" i="7"/>
  <c r="M21" i="7"/>
  <c r="AU21" i="7"/>
  <c r="BB21" i="7"/>
  <c r="T25" i="7"/>
  <c r="AL25" i="7"/>
  <c r="AQ21" i="7"/>
  <c r="E21" i="7"/>
  <c r="BC21" i="7"/>
  <c r="BB25" i="7"/>
  <c r="O25" i="7"/>
  <c r="AZ21" i="7"/>
  <c r="AG25" i="7"/>
  <c r="H25" i="7"/>
  <c r="AQ25" i="7"/>
  <c r="E25" i="7"/>
  <c r="AV25" i="7"/>
  <c r="W25" i="7"/>
  <c r="AB25" i="7"/>
  <c r="AO25" i="7"/>
  <c r="BC25" i="7"/>
  <c r="AY25" i="7"/>
  <c r="AP25" i="7"/>
  <c r="AU25" i="7"/>
  <c r="D57" i="7" l="1" a="1"/>
  <c r="D57" i="7" s="1"/>
  <c r="D47" i="7" a="1"/>
  <c r="D47" i="7" s="1"/>
  <c r="D52" i="7" a="1"/>
  <c r="D52" i="7" s="1"/>
  <c r="F2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<sst xmlns="http://schemas.openxmlformats.org/spreadsheetml/2006/main" count="1575" uniqueCount="400">
  <si>
    <t>Low Emissions Industry Program (LEIP) Grant</t>
  </si>
  <si>
    <t>Assessment criteria template</t>
  </si>
  <si>
    <t>Please read these instructions prior to completing the template.</t>
  </si>
  <si>
    <t>This template captures all emissions data under the following two scenarios:</t>
  </si>
  <si>
    <t>1. Baseline scenario (baseline)</t>
  </si>
  <si>
    <t>2. Project implementation scenario (project)</t>
  </si>
  <si>
    <t>This template also captures financial data representing the financial value recorded at the facility as a result of the project's implementation.</t>
  </si>
  <si>
    <t>Key steps</t>
  </si>
  <si>
    <t>Please:</t>
  </si>
  <si>
    <t>1. Read the explanatory notes and definitions below.</t>
  </si>
  <si>
    <t>2. Enter emissions data into the 'Emissions' worksheet.</t>
  </si>
  <si>
    <t>3. Enter financial data into the 'Finance' worksheet.</t>
  </si>
  <si>
    <t>4. Upload a completed copy of this template to your application.</t>
  </si>
  <si>
    <t>5. Upload any other supporting data including your own modelling and assumptions if used in the application form under the relevant section.</t>
  </si>
  <si>
    <t>Explanatory notes and definitions</t>
  </si>
  <si>
    <t>Financial years</t>
  </si>
  <si>
    <t>All years are financial years. For example: 'FY25/26' is the financial year covering 2025 to 2026.</t>
  </si>
  <si>
    <t>Proposed asset and lifetime</t>
  </si>
  <si>
    <t>Proposed asset refers to the asset, equipment and / or technology which is to be deployed and commissioned under the project.</t>
  </si>
  <si>
    <t>Asset lifetime and year of deployment are used throughout this workbook to calculate lifetime costs and lifetime abatement under both the baseline and project scenarios.</t>
  </si>
  <si>
    <t>The tables in this workbook capture data out to FY79/80. Therefore, if the asset lifetime extends beyond FY79/80, this data will not be captured (e.g. any forecast emissions and finance data beyond FY79/80).</t>
  </si>
  <si>
    <t>Baseline scenario</t>
  </si>
  <si>
    <t>Enter all relevant emissions data under a baseline scenario where the proposed project is not implemented.</t>
  </si>
  <si>
    <t xml:space="preserve">  • Include any projects that would be required if the proposed project does not proceed — i.e. business-as-usual (BAU) replacement of the capital asset.</t>
  </si>
  <si>
    <t xml:space="preserve">  • If a project was already planned but is now being brought forward due to LEIP funding, please include it in the baseline using its original planned date.</t>
  </si>
  <si>
    <t>Project implementation (project) scenario with LEIP funding</t>
  </si>
  <si>
    <t>Enter all relevant emissions data under a project implementation scenario where the proposed project is implemented.</t>
  </si>
  <si>
    <t>Include data for the years before the project begins operations — these may reflect baseline values if no changes are expected prior to implementation.</t>
  </si>
  <si>
    <t>Financial data</t>
  </si>
  <si>
    <t>Enter financial data representing the financial value recorded at the facility as a result of the project's implementation.</t>
  </si>
  <si>
    <t>Revenue</t>
  </si>
  <si>
    <t>Revenue inputs should relate to any revenue associated with activities directly impacted by the LEIP project.</t>
  </si>
  <si>
    <t>Funding from other sources</t>
  </si>
  <si>
    <t>Funding from other sources relates to funding provided by either government or non-government entities, e.g. Australian Renewable Energy Agency, Clean Energy Finance Corporation.</t>
  </si>
  <si>
    <t>LEIP grant funding requested</t>
  </si>
  <si>
    <t>This only relates to the project scenario and should include all funding requested under the LEIP for this project.</t>
  </si>
  <si>
    <t>Australian Carbon Credit Unit (ACCU) and other carbon credits</t>
  </si>
  <si>
    <t>If relevant to your project, provide information on ACCU and any other carbon credits in the respective tables in the 'Finance' worksheet.</t>
  </si>
  <si>
    <t>Do not include ACCU and any other carbon credits in the project capital cost, net operating costs, or net revenue.</t>
  </si>
  <si>
    <t>ACCU and other carbon credits will not affect the project score during assessment but may affect the amount of funding offered. The Department also reserves the right to consider recovering revenue for the sale of ACCU and other carbon credits generated by the project.</t>
  </si>
  <si>
    <t>Applicant</t>
  </si>
  <si>
    <t>&lt;enter facility name&gt;</t>
  </si>
  <si>
    <t>Notes</t>
  </si>
  <si>
    <t>All input cells are highlighted in yellow.</t>
  </si>
  <si>
    <t>If a row is not required, leave it blank.</t>
  </si>
  <si>
    <t>Project scenario - Proposed asset / technology</t>
  </si>
  <si>
    <t>Item</t>
  </si>
  <si>
    <t>Description</t>
  </si>
  <si>
    <t>Units</t>
  </si>
  <si>
    <t>Value</t>
  </si>
  <si>
    <t>Year fully commissioned and operational</t>
  </si>
  <si>
    <t>Select financial year</t>
  </si>
  <si>
    <t>Financial year</t>
  </si>
  <si>
    <t>FY26/27</t>
  </si>
  <si>
    <t>Asset description and life</t>
  </si>
  <si>
    <t>&lt; enter description of asset / technology &gt;</t>
  </si>
  <si>
    <t>years</t>
  </si>
  <si>
    <t>Baseline scenario - Consumption</t>
  </si>
  <si>
    <t>Source</t>
  </si>
  <si>
    <t>FY24/25</t>
  </si>
  <si>
    <t>FY25/26</t>
  </si>
  <si>
    <t>FY27/28</t>
  </si>
  <si>
    <t>FY28/29</t>
  </si>
  <si>
    <t>FY29/30</t>
  </si>
  <si>
    <t>FY30/31</t>
  </si>
  <si>
    <t>FY31/32</t>
  </si>
  <si>
    <t>FY32/33</t>
  </si>
  <si>
    <t>FY33/34</t>
  </si>
  <si>
    <t>FY34/35</t>
  </si>
  <si>
    <t>FY35/36</t>
  </si>
  <si>
    <t>FY36/37</t>
  </si>
  <si>
    <t>FY37/38</t>
  </si>
  <si>
    <t>FY38/39</t>
  </si>
  <si>
    <t>FY39/40</t>
  </si>
  <si>
    <t>FY40/41</t>
  </si>
  <si>
    <t>FY41/42</t>
  </si>
  <si>
    <t>FY42/43</t>
  </si>
  <si>
    <t>FY43/44</t>
  </si>
  <si>
    <t>FY44/45</t>
  </si>
  <si>
    <t>FY45/46</t>
  </si>
  <si>
    <t>FY46/47</t>
  </si>
  <si>
    <t>FY47/48</t>
  </si>
  <si>
    <t>FY48/49</t>
  </si>
  <si>
    <t>FY49/50</t>
  </si>
  <si>
    <t>FY50/51</t>
  </si>
  <si>
    <t>FY51/52</t>
  </si>
  <si>
    <t>FY52/53</t>
  </si>
  <si>
    <t>FY53/54</t>
  </si>
  <si>
    <t>FY54/55</t>
  </si>
  <si>
    <t>FY55/56</t>
  </si>
  <si>
    <t>FY56/57</t>
  </si>
  <si>
    <t>FY57/58</t>
  </si>
  <si>
    <t>FY58/59</t>
  </si>
  <si>
    <t>FY59/60</t>
  </si>
  <si>
    <t>FY60/61</t>
  </si>
  <si>
    <t>FY61/62</t>
  </si>
  <si>
    <t>FY62/63</t>
  </si>
  <si>
    <t>FY63/64</t>
  </si>
  <si>
    <t>FY64/65</t>
  </si>
  <si>
    <t>FY65/66</t>
  </si>
  <si>
    <t>FY66/67</t>
  </si>
  <si>
    <t>FY67/68</t>
  </si>
  <si>
    <t>FY68/69</t>
  </si>
  <si>
    <t>FY69/70</t>
  </si>
  <si>
    <t>FY70/71</t>
  </si>
  <si>
    <t>FY71/72</t>
  </si>
  <si>
    <t>FY72/73</t>
  </si>
  <si>
    <t>FY73/74</t>
  </si>
  <si>
    <t>FY74/75</t>
  </si>
  <si>
    <t>FY75/76</t>
  </si>
  <si>
    <t>FY76/77</t>
  </si>
  <si>
    <t>FY77/78</t>
  </si>
  <si>
    <t>FY78/79</t>
  </si>
  <si>
    <t>FY79/80</t>
  </si>
  <si>
    <t>Electricity consumption - scope 2</t>
  </si>
  <si>
    <t>Electricity</t>
  </si>
  <si>
    <t>MWh</t>
  </si>
  <si>
    <t>&lt; enter source &gt;</t>
  </si>
  <si>
    <t>Electricity generation - scope 2</t>
  </si>
  <si>
    <t>Coal consumption - scope 1</t>
  </si>
  <si>
    <t>Bituminous coal</t>
  </si>
  <si>
    <t>tonnes</t>
  </si>
  <si>
    <t>Diesel consumption - scope 1</t>
  </si>
  <si>
    <t>Diesel</t>
  </si>
  <si>
    <t>GJ</t>
  </si>
  <si>
    <t>Natural gas consumption - scope 1</t>
  </si>
  <si>
    <t>Natural gas</t>
  </si>
  <si>
    <t>Project scenario - Consumption</t>
  </si>
  <si>
    <t>These tables capture all scope 1 emissions from sources other than bituminous coal, diesel, and natural gas, e.g. plastics, wastes.</t>
  </si>
  <si>
    <t>Baseline scenario - scope 1 emissions by other sources (if applicable)</t>
  </si>
  <si>
    <t>Unit</t>
  </si>
  <si>
    <t>Other source emissions - scope 1</t>
  </si>
  <si>
    <t>&lt; enter description of other source &gt;</t>
  </si>
  <si>
    <r>
      <t>tCO</t>
    </r>
    <r>
      <rPr>
        <vertAlign val="subscript"/>
        <sz val="11"/>
        <color theme="1"/>
        <rFont val="Aptos Narrow"/>
        <family val="2"/>
        <scheme val="minor"/>
      </rPr>
      <t>2</t>
    </r>
    <r>
      <rPr>
        <sz val="11"/>
        <color theme="1"/>
        <rFont val="Aptos Narrow"/>
        <family val="2"/>
        <scheme val="minor"/>
      </rPr>
      <t>-e</t>
    </r>
  </si>
  <si>
    <t>Project scenario - scope 1 emissions by other sources (if applicable)</t>
  </si>
  <si>
    <t>Emissions intensity factors to calculate scope 1 emissions.</t>
  </si>
  <si>
    <t>Emissions intensity of the grid to calculate scope 2 emissions.</t>
  </si>
  <si>
    <t>Baseline scenario - Total emissions</t>
  </si>
  <si>
    <t>Total emissions - scope 1</t>
  </si>
  <si>
    <t>All scope 1 emissions</t>
  </si>
  <si>
    <t>All</t>
  </si>
  <si>
    <t>Total emissions - scope 2</t>
  </si>
  <si>
    <t>All scope 2 emissions</t>
  </si>
  <si>
    <t>Total emissions - Baseline</t>
  </si>
  <si>
    <t>Project scenario - Total emissions</t>
  </si>
  <si>
    <t>Total emissions - Project</t>
  </si>
  <si>
    <t>Total scope 1 and 2 abatement</t>
  </si>
  <si>
    <t>Positive value represents reduction in emissions as a result of the project's implementation.</t>
  </si>
  <si>
    <t>Total abatement - scope 1</t>
  </si>
  <si>
    <t>All scope 1 abatement</t>
  </si>
  <si>
    <t>Total abatement - scope 2</t>
  </si>
  <si>
    <t>All scope 2 abatement</t>
  </si>
  <si>
    <t>Calculations</t>
  </si>
  <si>
    <t>Baseline</t>
  </si>
  <si>
    <t>Project</t>
  </si>
  <si>
    <t>NA</t>
  </si>
  <si>
    <t>Asset life</t>
  </si>
  <si>
    <t>Cumulative scope 1 emissions to FY29/30</t>
  </si>
  <si>
    <t>from FY24/25 to FY29/30</t>
  </si>
  <si>
    <t>Cumulative scope 2 emissions to FY29/30</t>
  </si>
  <si>
    <t>Cumulative lifetime scope 1 emissions</t>
  </si>
  <si>
    <t>from project deployment year to end of project lifetime</t>
  </si>
  <si>
    <t>Cumulative lifetime scope 2 emissions</t>
  </si>
  <si>
    <t>Lifetime abatement</t>
  </si>
  <si>
    <r>
      <rPr>
        <u/>
        <sz val="11"/>
        <color rgb="FF002664"/>
        <rFont val="Aptos Narrow"/>
        <family val="2"/>
        <scheme val="minor"/>
      </rPr>
      <t>Net figures</t>
    </r>
    <r>
      <rPr>
        <sz val="11"/>
        <color rgb="FF002664"/>
        <rFont val="Aptos Narrow"/>
        <family val="2"/>
        <scheme val="minor"/>
      </rPr>
      <t xml:space="preserve"> represent the net value recorded at the facility as a result of the project's implementation compared to the base case/business-as-usual.</t>
    </r>
  </si>
  <si>
    <r>
      <t xml:space="preserve">Use </t>
    </r>
    <r>
      <rPr>
        <sz val="11"/>
        <color rgb="FFFF0000"/>
        <rFont val="Aptos Narrow"/>
        <family val="2"/>
        <scheme val="minor"/>
      </rPr>
      <t>positive</t>
    </r>
    <r>
      <rPr>
        <sz val="11"/>
        <color rgb="FF002664"/>
        <rFont val="Aptos Narrow"/>
        <family val="2"/>
        <scheme val="minor"/>
      </rPr>
      <t xml:space="preserve"> values for costs, revenue, and funding.</t>
    </r>
  </si>
  <si>
    <r>
      <t xml:space="preserve">Use </t>
    </r>
    <r>
      <rPr>
        <sz val="11"/>
        <color rgb="FFFF0000"/>
        <rFont val="Aptos Narrow"/>
        <family val="2"/>
        <scheme val="minor"/>
      </rPr>
      <t>negative</t>
    </r>
    <r>
      <rPr>
        <sz val="11"/>
        <color rgb="FF002664"/>
        <rFont val="Aptos Narrow"/>
        <family val="2"/>
        <scheme val="minor"/>
      </rPr>
      <t xml:space="preserve"> values for net operating </t>
    </r>
    <r>
      <rPr>
        <u/>
        <sz val="11"/>
        <color rgb="FF002664"/>
        <rFont val="Aptos Narrow"/>
        <family val="2"/>
        <scheme val="minor"/>
      </rPr>
      <t>savings</t>
    </r>
    <r>
      <rPr>
        <sz val="11"/>
        <color rgb="FF002664"/>
        <rFont val="Aptos Narrow"/>
        <family val="2"/>
        <scheme val="minor"/>
      </rPr>
      <t>, if applicable (row 16).</t>
    </r>
  </si>
  <si>
    <t>Project capital cost, net operating costs, net revenue and funding from other sources</t>
  </si>
  <si>
    <t>This table captures costs, revenue, and funding from other sources at the facility as a result of the project's implementation.</t>
  </si>
  <si>
    <t>Do not include ACCU and other carbon credits in the project capital cost, net operating costs, or net revenue.</t>
  </si>
  <si>
    <t>Project capital cost</t>
  </si>
  <si>
    <t>&lt; enter description of capital cost &gt;</t>
  </si>
  <si>
    <t>$</t>
  </si>
  <si>
    <r>
      <rPr>
        <u/>
        <sz val="11"/>
        <color theme="1"/>
        <rFont val="Aptos Narrow"/>
        <family val="2"/>
        <scheme val="minor"/>
      </rPr>
      <t>Net</t>
    </r>
    <r>
      <rPr>
        <sz val="11"/>
        <color theme="1"/>
        <rFont val="Aptos Narrow"/>
        <family val="2"/>
        <scheme val="minor"/>
      </rPr>
      <t xml:space="preserve"> project operating costs (do not include ACCU and other carbon credits)</t>
    </r>
  </si>
  <si>
    <t>&lt; enter description of net operating costs &gt;</t>
  </si>
  <si>
    <r>
      <rPr>
        <u/>
        <sz val="11"/>
        <color theme="1"/>
        <rFont val="Aptos Narrow"/>
        <family val="2"/>
        <scheme val="minor"/>
      </rPr>
      <t>Net</t>
    </r>
    <r>
      <rPr>
        <sz val="11"/>
        <color theme="1"/>
        <rFont val="Aptos Narrow"/>
        <family val="2"/>
        <scheme val="minor"/>
      </rPr>
      <t xml:space="preserve"> project revenue</t>
    </r>
  </si>
  <si>
    <t>&lt; enter description of net revenue &gt;</t>
  </si>
  <si>
    <t>Funding from other sources - govt. grants</t>
  </si>
  <si>
    <t>&lt; enter description of funding from other sources - govt. grants &gt;</t>
  </si>
  <si>
    <t>Funding from other sources - govt. loans</t>
  </si>
  <si>
    <t>&lt; enter description of funding from other sources - govt. loans &gt;</t>
  </si>
  <si>
    <t>Funding from other sources - non-govt.</t>
  </si>
  <si>
    <t>&lt; enter description of funding from other sources - non-govt. &gt;</t>
  </si>
  <si>
    <t>Revenue (plus) funding (minus) costs</t>
  </si>
  <si>
    <t>Project scenario - LEIP grant funding requested</t>
  </si>
  <si>
    <t>This table captures funding requested from the LEIP grant, starting from the current financial year. Capital refers to land, plant or equipment acquisition while non-capital refers to procuring contractors or similar project-specific expenses.</t>
  </si>
  <si>
    <t>LEIP grant funding (capital)</t>
  </si>
  <si>
    <t>&lt; enter description of LEIP funding requested (capital) &gt;</t>
  </si>
  <si>
    <t>LEIP grant funding (non-capital)</t>
  </si>
  <si>
    <t>&lt; enter description of LEIP funding requested (non-capital) &gt;</t>
  </si>
  <si>
    <t>Total LEIP grant funding</t>
  </si>
  <si>
    <t>Australian Carbon Credit Unit (ACCU)</t>
  </si>
  <si>
    <t>This table captures all forecasted ACCUs generated, used, or sold at the facility and the facility's benefit of generating ACCUs as a result of the project's implementation.</t>
  </si>
  <si>
    <t>Benefit of generating ACCUs = (number of generated, used, sold ACCUs) x (ACCU price). ACCU price is in 'ACCU prices' table below.</t>
  </si>
  <si>
    <t>The information will not affect the project's scoring during the merit assessment but may be considered to determine the final funding amount.</t>
  </si>
  <si>
    <t>Number of ACCUs</t>
  </si>
  <si>
    <t>&lt; enter description of how the ACCUs are generated, used, sold &gt;</t>
  </si>
  <si>
    <t>units</t>
  </si>
  <si>
    <t>Benefit of generating ACCUs</t>
  </si>
  <si>
    <t>&lt; enter description or comment &gt;</t>
  </si>
  <si>
    <t>ACCU prices</t>
  </si>
  <si>
    <t>Please enter the ACCU prices if they differ from the reference prices provided.</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</si>
  <si>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</si>
  <si>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</si>
  <si>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</si>
  <si>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</si>
  <si>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</si>
  <si>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</si>
  <si>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</si>
  <si>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</si>
  <si>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</si>
  <si>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</si>
  <si>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</si>
  <si>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</si>
  <si>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</si>
  <si>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</si>
  <si>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</si>
  <si>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</si>
  <si>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</si>
  <si>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</si>
  <si>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</si>
  <si>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</si>
  <si>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</si>
  <si>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</si>
  <si>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</si>
  <si>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</si>
  <si>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</si>
  <si>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</si>
  <si>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</si>
  <si>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</si>
  <si>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</si>
  <si>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</si>
  <si>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</si>
  <si>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</si>
  <si>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</si>
  <si>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</si>
  <si>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</si>
  <si>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</si>
  <si>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</si>
  <si>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</si>
  <si>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</si>
  <si>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</si>
  <si>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</si>
  <si>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</si>
  <si>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</si>
  <si>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</si>
  <si>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</si>
  <si>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</si>
  <si>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</si>
  <si>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</si>
  <si>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</si>
  <si>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</si>
  <si>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</si>
  <si>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</si>
  <si>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</si>
  <si>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</si>
  <si>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</si>
  <si>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</si>
  <si>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ACCU price</t>
  </si>
  <si>
    <t>https://www.ey.com/en_au/insights/sustainability/australia-s-carbon-market-is-changing-gears-are-you-ready</t>
  </si>
  <si>
    <t>Other carbon credits, e.g. Energy Savings Certificate (ESC), Safeguard Mechanism Credit (SMC), Small-scale Technology Certificate (STC)</t>
  </si>
  <si>
    <t>This table captures any other carbon credits generated, used, or sold at the facility and the facility's benefit of generating credits as a result of the project's implementation.</t>
  </si>
  <si>
    <t>Carbon credit 1</t>
  </si>
  <si>
    <t>&lt; enter description of how the carbon credits are generated, used, sold &gt;</t>
  </si>
  <si>
    <t>credits</t>
  </si>
  <si>
    <t>Carbon credit 2</t>
  </si>
  <si>
    <t>Carbon credit 3</t>
  </si>
  <si>
    <t>Benefit of generating credits</t>
  </si>
  <si>
    <t>Carbon credit prices</t>
  </si>
  <si>
    <t>Please enter the carbon credit prices if available.</t>
  </si>
  <si>
    <t>Below is a summary of data provided in the 'Finance' worksheet, including calculations based on this data.</t>
  </si>
  <si>
    <t>This information should be used as a guide to check and verify any data and inputs used in the application form.</t>
  </si>
  <si>
    <t>ACCU and other carbon credits savings</t>
  </si>
  <si>
    <r>
      <t xml:space="preserve">Net cashflow (including costs, revenue and other funding </t>
    </r>
    <r>
      <rPr>
        <u/>
        <sz val="11"/>
        <color rgb="FF002664"/>
        <rFont val="Aptos Narrow"/>
        <family val="2"/>
        <scheme val="minor"/>
      </rPr>
      <t>without</t>
    </r>
    <r>
      <rPr>
        <sz val="11"/>
        <color rgb="FF002664"/>
        <rFont val="Aptos Narrow"/>
        <family val="2"/>
        <scheme val="minor"/>
      </rPr>
      <t xml:space="preserve"> LEIP funding)</t>
    </r>
  </si>
  <si>
    <r>
      <t xml:space="preserve">Net cashflow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</si>
  <si>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Net cashflow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</si>
  <si>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Central</t>
  </si>
  <si>
    <t>Social benefit of abatement</t>
  </si>
  <si>
    <t>Net cost/benefit flow (government)</t>
  </si>
  <si>
    <t>Cumulative benefit to government</t>
  </si>
  <si>
    <t>High</t>
  </si>
  <si>
    <t>Low</t>
  </si>
  <si>
    <t>from FY24/25 to end of project lifetime</t>
  </si>
  <si>
    <t>Net project operating costs</t>
  </si>
  <si>
    <t>Net project revenue</t>
  </si>
  <si>
    <t>from current year to end of project lifetime</t>
  </si>
  <si>
    <r>
      <t xml:space="preserve">Project NPV (including costs, revenue and other funding </t>
    </r>
    <r>
      <rPr>
        <u/>
        <sz val="11"/>
        <color rgb="FF002664"/>
        <rFont val="Aptos Narrow"/>
        <family val="2"/>
        <scheme val="minor"/>
      </rPr>
      <t>without</t>
    </r>
    <r>
      <rPr>
        <sz val="11"/>
        <color rgb="FF002664"/>
        <rFont val="Aptos Narrow"/>
        <family val="2"/>
        <scheme val="minor"/>
      </rPr>
      <t xml:space="preserve"> LEIP funding)</t>
    </r>
  </si>
  <si>
    <r>
      <t xml:space="preserve">Project NPV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</si>
  <si>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Project NPV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</si>
  <si>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MAC (total)</t>
  </si>
  <si>
    <r>
      <t>$/tCO</t>
    </r>
    <r>
      <rPr>
        <vertAlign val="subscript"/>
        <sz val="11"/>
        <color rgb="FF002664"/>
        <rFont val="Aptos Narrow"/>
        <family val="2"/>
        <scheme val="minor"/>
      </rPr>
      <t>2</t>
    </r>
    <r>
      <rPr>
        <sz val="11"/>
        <color rgb="FF002664"/>
        <rFont val="Aptos Narrow"/>
        <family val="2"/>
        <scheme val="minor"/>
      </rPr>
      <t>-e</t>
    </r>
  </si>
  <si>
    <t>MAC (to government)</t>
  </si>
  <si>
    <r>
      <t xml:space="preserve">Project IRR (including costs, revenue and other funding </t>
    </r>
    <r>
      <rPr>
        <u/>
        <sz val="11"/>
        <color rgb="FF002664"/>
        <rFont val="Aptos Narrow"/>
        <family val="2"/>
        <scheme val="minor"/>
      </rPr>
      <t>without</t>
    </r>
    <r>
      <rPr>
        <sz val="11"/>
        <color rgb="FF002664"/>
        <rFont val="Aptos Narrow"/>
        <family val="2"/>
        <scheme val="minor"/>
      </rPr>
      <t xml:space="preserve"> LEIP funding)</t>
    </r>
  </si>
  <si>
    <t>%</t>
  </si>
  <si>
    <r>
      <t xml:space="preserve">Project IRR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</si>
  <si>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Project IRR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</si>
  <si>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Benefit of generating ACCU and other carbon credits</t>
  </si>
  <si>
    <t>NPV (government)</t>
  </si>
  <si>
    <t>IRR (government)</t>
  </si>
  <si>
    <t>BCR (government)</t>
  </si>
  <si>
    <t>-</t>
  </si>
  <si>
    <t>Payback year</t>
  </si>
  <si>
    <t>year</t>
  </si>
  <si>
    <t>The data below are based on inputs provided within this workbook.</t>
  </si>
  <si>
    <t>Relevant criteria</t>
  </si>
  <si>
    <t>Criteria description</t>
  </si>
  <si>
    <t>Values</t>
  </si>
  <si>
    <t>Abatement threshold</t>
  </si>
  <si>
    <t>Eligibility criteria 2.3</t>
  </si>
  <si>
    <t>Abatement per year during the project lifetime</t>
  </si>
  <si>
    <r>
      <t>tCO</t>
    </r>
    <r>
      <rPr>
        <vertAlign val="subscript"/>
        <sz val="11"/>
        <color theme="1"/>
        <rFont val="Aptos Narrow"/>
        <family val="2"/>
        <scheme val="minor"/>
      </rPr>
      <t>2</t>
    </r>
    <r>
      <rPr>
        <sz val="11"/>
        <color theme="1"/>
        <rFont val="Aptos Narrow"/>
        <family val="2"/>
        <scheme val="minor"/>
      </rPr>
      <t>-e/yr</t>
    </r>
  </si>
  <si>
    <r>
      <t>The project must reduce the facility’s emissions by at least 1,000 tCO</t>
    </r>
    <r>
      <rPr>
        <vertAlign val="subscript"/>
        <sz val="11"/>
        <color theme="1"/>
        <rFont val="Aptos Narrow"/>
        <family val="2"/>
        <scheme val="minor"/>
      </rPr>
      <t>2</t>
    </r>
    <r>
      <rPr>
        <sz val="11"/>
        <color theme="1"/>
        <rFont val="Aptos Narrow"/>
        <family val="2"/>
        <scheme val="minor"/>
      </rPr>
      <t>-e/yr in any year during the project lifetime.</t>
    </r>
  </si>
  <si>
    <t>The project will be fully operational on or before 30 June 2030.</t>
  </si>
  <si>
    <t>Eligibility criteria 2.4</t>
  </si>
  <si>
    <t>Y/N</t>
  </si>
  <si>
    <t>The project will be fully commissioned and operational before 30 June 2030.</t>
  </si>
  <si>
    <t>Total government funding as a percentage of capital cost of project</t>
  </si>
  <si>
    <t>Eligibility criteria 2.5</t>
  </si>
  <si>
    <t>Co-investment &gt; 50% of eligible costs</t>
  </si>
  <si>
    <t>Total NSW government funding for project cannot be greater than 50% of eligible costs.
Calculated as LEIP grant funding requested divided by net project capital cost recorded at the facility as a result of the project's implementation.
Nominal values used. No discount rate applied.</t>
  </si>
  <si>
    <t>Scope 1 emissions reduction up to and including FY29/30</t>
  </si>
  <si>
    <t>Merit criteria 1.1</t>
  </si>
  <si>
    <t>Cumulative scope 1 emissions reduction</t>
  </si>
  <si>
    <t>Cumulative scope 1 emissions reduction up to and including FY29/30.</t>
  </si>
  <si>
    <t>Scope 2 emissions reduction up to and including FY29/30</t>
  </si>
  <si>
    <t>Merit criteria 1.2</t>
  </si>
  <si>
    <t>Cumulative scope 2 emissions reduction</t>
  </si>
  <si>
    <t>Cumulative scope 2 emissions reduction up to and including FY29/30.</t>
  </si>
  <si>
    <t>Scope 1 emissions reduction over project lifetime</t>
  </si>
  <si>
    <t>Merit criteria 1.3</t>
  </si>
  <si>
    <t>Cumulative scope 1 emissions reduction over project lifetime.</t>
  </si>
  <si>
    <t>Scope 2 emissions reduction over project lifetime</t>
  </si>
  <si>
    <t>Merit criteria 1.4</t>
  </si>
  <si>
    <t>Cumulative scope 2 emissions reduction over project lifetime.</t>
  </si>
  <si>
    <t>Merit criteria 3.1</t>
  </si>
  <si>
    <t>Project capital cost over project lifetime</t>
  </si>
  <si>
    <t>This calculation includes project capital cost recorded at the facility as a result of the project's implementation.
Nominal values used.</t>
  </si>
  <si>
    <t>Net project operating costs over project lifetime</t>
  </si>
  <si>
    <t>This calculation includes net project operating costs recorded at the facility as a result of the project's implementation.
Nominal values used.</t>
  </si>
  <si>
    <t>Net project revenue over project lifetime</t>
  </si>
  <si>
    <t>This calculation includes net project revenue recorded at the facility as a result of the project's implementation.
Nominal values used.</t>
  </si>
  <si>
    <t>Funding from other sources - govt. and non-govt.</t>
  </si>
  <si>
    <t>Nominal values used.</t>
  </si>
  <si>
    <t>Total LEIP grant funding requested</t>
  </si>
  <si>
    <r>
      <t xml:space="preserve">Internal rate of return of project </t>
    </r>
    <r>
      <rPr>
        <u/>
        <sz val="11"/>
        <color theme="1"/>
        <rFont val="Aptos Narrow"/>
        <family val="2"/>
        <scheme val="minor"/>
      </rPr>
      <t>without</t>
    </r>
    <r>
      <rPr>
        <sz val="11"/>
        <color theme="1"/>
        <rFont val="Aptos Narrow"/>
        <family val="2"/>
        <scheme val="minor"/>
      </rPr>
      <t xml:space="preserve"> LEIP grant funding</t>
    </r>
  </si>
  <si>
    <t>Demonstrate why NSW funding is essential</t>
  </si>
  <si>
    <t>IRR</t>
  </si>
  <si>
    <t>Internal rate of return of project without LEIP grant funding.</t>
  </si>
  <si>
    <r>
      <t xml:space="preserve">Internal rate of return of project </t>
    </r>
    <r>
      <rPr>
        <u/>
        <sz val="11"/>
        <color theme="1"/>
        <rFont val="Aptos Narrow"/>
        <family val="2"/>
        <scheme val="minor"/>
      </rPr>
      <t>with</t>
    </r>
    <r>
      <rPr>
        <sz val="11"/>
        <color theme="1"/>
        <rFont val="Aptos Narrow"/>
        <family val="2"/>
        <scheme val="minor"/>
      </rPr>
      <t xml:space="preserve"> LEIP grant funding</t>
    </r>
  </si>
  <si>
    <t>Internal rate of return of project with LEIP grant funding.</t>
  </si>
  <si>
    <t>ACCU and other carbon credits</t>
  </si>
  <si>
    <t>This calculation includes the facility's benefit of generating ACCU and other carbon credits as a result of the project's implementation.
The information will not affect the project's scoring during the merit assessment but may be considered to determine the final funding amount.</t>
  </si>
  <si>
    <t>Marginal cost to government of total abatement</t>
  </si>
  <si>
    <t>Merit criteria 3.2</t>
  </si>
  <si>
    <r>
      <t>Marginal cost to government per tonne of lifetime CO</t>
    </r>
    <r>
      <rPr>
        <vertAlign val="subscript"/>
        <sz val="11"/>
        <color theme="1"/>
        <rFont val="Aptos Narrow"/>
        <family val="2"/>
        <scheme val="minor"/>
      </rPr>
      <t>2</t>
    </r>
    <r>
      <rPr>
        <sz val="11"/>
        <color theme="1"/>
        <rFont val="Aptos Narrow"/>
        <family val="2"/>
        <scheme val="minor"/>
      </rPr>
      <t>-e reduction</t>
    </r>
  </si>
  <si>
    <r>
      <t>$/tCO</t>
    </r>
    <r>
      <rPr>
        <vertAlign val="subscript"/>
        <sz val="11"/>
        <color theme="1"/>
        <rFont val="Aptos Narrow"/>
        <family val="2"/>
        <scheme val="minor"/>
      </rPr>
      <t>2</t>
    </r>
    <r>
      <rPr>
        <sz val="11"/>
        <color theme="1"/>
        <rFont val="Aptos Narrow"/>
        <family val="2"/>
        <scheme val="minor"/>
      </rPr>
      <t>-e</t>
    </r>
  </si>
  <si>
    <t>The marginal cost of carbon abatement of the project over the project lifetime to the NSW government.
Calculated as net present value of total LEIP funding requested divided by lifetime emissions reduction.
Nominal values used. Discount rate applied.</t>
  </si>
  <si>
    <t>Total investment in NSW</t>
  </si>
  <si>
    <t>Merit criteria 5.2</t>
  </si>
  <si>
    <t>Project capital and net operating costs over project lifetime</t>
  </si>
  <si>
    <t>Nominal values used. Ignores revenue. Ignores funding provided by LEIP grant and other sources.</t>
  </si>
  <si>
    <t>Note</t>
  </si>
  <si>
    <t>Below are some key assumptions and default figures to be considered for use in emissions and finance calculations.</t>
  </si>
  <si>
    <t>Discount rate</t>
  </si>
  <si>
    <t>DCCEEW</t>
  </si>
  <si>
    <t>Emissions intensity of the grid</t>
  </si>
  <si>
    <t>Extrapolated values (y = 0.3118*exp(-0.079x))</t>
  </si>
  <si>
    <t>Emissions intensity of electricity</t>
  </si>
  <si>
    <t>ED&amp;A Internal modelling</t>
  </si>
  <si>
    <r>
      <t>tCO</t>
    </r>
    <r>
      <rPr>
        <vertAlign val="subscript"/>
        <sz val="11"/>
        <color theme="1"/>
        <rFont val="Aptos Narrow"/>
        <family val="2"/>
        <scheme val="minor"/>
      </rPr>
      <t>2</t>
    </r>
    <r>
      <rPr>
        <sz val="11"/>
        <color theme="1"/>
        <rFont val="Aptos Narrow"/>
        <family val="2"/>
        <scheme val="minor"/>
      </rPr>
      <t>-e / MWh</t>
    </r>
  </si>
  <si>
    <t>Status: Current (February 2026)</t>
  </si>
  <si>
    <t>Estimated scope 2 emissions for NSW by financial year ending.</t>
  </si>
  <si>
    <t>Emissions intensity factor</t>
  </si>
  <si>
    <t>Energy</t>
  </si>
  <si>
    <t>Scenario</t>
  </si>
  <si>
    <t>Energy content factor
(GJ/kL)</t>
  </si>
  <si>
    <r>
      <t>CO</t>
    </r>
    <r>
      <rPr>
        <vertAlign val="subscript"/>
        <sz val="11"/>
        <color theme="1"/>
        <rFont val="Aptos Narrow"/>
        <family val="2"/>
        <scheme val="minor"/>
      </rPr>
      <t xml:space="preserve">2
</t>
    </r>
    <r>
      <rPr>
        <sz val="11"/>
        <color theme="1"/>
        <rFont val="Aptos Narrow"/>
        <family val="2"/>
        <scheme val="minor"/>
      </rPr>
      <t>(kgCO</t>
    </r>
    <r>
      <rPr>
        <vertAlign val="subscript"/>
        <sz val="11"/>
        <color theme="1"/>
        <rFont val="Aptos Narrow"/>
        <family val="2"/>
        <scheme val="minor"/>
      </rPr>
      <t>2</t>
    </r>
    <r>
      <rPr>
        <sz val="11"/>
        <color theme="1"/>
        <rFont val="Aptos Narrow"/>
        <family val="2"/>
        <scheme val="minor"/>
      </rPr>
      <t>-e/GJ)</t>
    </r>
  </si>
  <si>
    <t>Stationary energy purposes</t>
  </si>
  <si>
    <r>
      <t>GJ/m</t>
    </r>
    <r>
      <rPr>
        <vertAlign val="superscript"/>
        <sz val="11"/>
        <color theme="1"/>
        <rFont val="Aptos Narrow"/>
        <family val="2"/>
        <scheme val="minor"/>
      </rPr>
      <t>3</t>
    </r>
  </si>
  <si>
    <t>Petrol</t>
  </si>
  <si>
    <t>GJ/kL</t>
  </si>
  <si>
    <t>Transport purposes</t>
  </si>
  <si>
    <t>Liquefied petroleum gas (LPG)</t>
  </si>
  <si>
    <t>LPG</t>
  </si>
  <si>
    <t>Liquefied natural gas (LNG)</t>
  </si>
  <si>
    <t>LNG (Light duty vehicles)</t>
  </si>
  <si>
    <t>LNG (heavy duty vehicles)</t>
  </si>
  <si>
    <t>GJ/t</t>
  </si>
  <si>
    <t>Source: National Greenhouse Account Factors - August 2019; Natural gas (Table 2 + Table 41 (Metro)), LPG (Table 2 + Table 4 + Table 41 (Metro)); Bituminous coal (Table 1 + Table 40), Petrol and Diesel (Table 3 + Table 4 + Table 43)</t>
  </si>
  <si>
    <t>Status: Current (February 2021)</t>
  </si>
  <si>
    <t>Value for emissions</t>
  </si>
  <si>
    <t>Extrapolated</t>
  </si>
  <si>
    <t>Extrapolated values (Central: 358.5; High: y = 12.804x - 25529; Low: y = -2.4569x + 5292.6)</t>
  </si>
  <si>
    <t>Social Cost of Carbon - Central</t>
  </si>
  <si>
    <t>Carbon Emissions in Investment Framework TPG24-xx (NSW Treasury)</t>
  </si>
  <si>
    <t>Social Cost of Carbon - High</t>
  </si>
  <si>
    <t>Social Cost of Carbon - Low</t>
  </si>
  <si>
    <t xml:space="preserve">Source: Treasury guide (https://www.treasury.nsw.gov.au/sites/default/files/2023-03/20230302-technical-note-to-tpg23-08_carbon-value-to-use-for-cost-benefit-analysis.pdf)
 </t>
  </si>
  <si>
    <t>Status: Current (August 2023)</t>
  </si>
  <si>
    <t>Estimated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</si>
</sst>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43" formatCode="_-* #,##0.00_-;\-* #,##0.00_-;_-* &quot;-&quot;??_-;_-@_-"/>
    <numFmt numFmtId="164" formatCode="0.000"/>
  </numFmts>
  <fonts count="16" x14ac:knownFonts="1">
    <font>
      <sz val="11"/>
      <color theme="1"/>
      <name val="Aptos Narrow"/>
      <family val="2"/>
      <scheme val="minor"/>
    </font>
    <font>
      <b/>
      <sz val="12"/>
      <color rgb="FF002664"/>
      <name val="Aptos Narrow"/>
      <family val="2"/>
      <scheme val="minor"/>
    </font>
    <font>
      <sz val="11"/>
      <color rgb="FF002664"/>
      <name val="Aptos Narrow"/>
      <family val="2"/>
      <scheme val="minor"/>
    </font>
    <font>
      <vertAlign val="subscript"/>
      <sz val="11"/>
      <color rgb="FF002664"/>
      <name val="Aptos Narrow"/>
      <family val="2"/>
      <scheme val="minor"/>
    </font>
    <font>
      <vertAlign val="subscript"/>
      <sz val="11"/>
      <color theme="1"/>
      <name val="Aptos Narrow"/>
      <family val="2"/>
      <scheme val="minor"/>
    </font>
    <font>
      <sz val="8"/>
      <name val="Aptos Narrow"/>
      <family val="2"/>
      <scheme val="minor"/>
    </font>
    <font>
      <u/>
      <sz val="11"/>
      <color theme="10"/>
      <name val="Aptos Narrow"/>
      <family val="2"/>
      <scheme val="minor"/>
    </font>
    <font>
      <b/>
      <sz val="11"/>
      <color rgb="FF002664"/>
      <name val="Aptos Narrow"/>
      <family val="2"/>
      <scheme val="minor"/>
    </font>
    <font>
      <u/>
      <sz val="11"/>
      <color rgb="FFFF0000"/>
      <name val="Aptos Narrow"/>
      <family val="2"/>
      <scheme val="minor"/>
    </font>
    <font>
      <u/>
      <sz val="11"/>
      <color rgb="FF002664"/>
      <name val="Aptos Narrow"/>
      <family val="2"/>
      <scheme val="minor"/>
    </font>
    <font>
      <sz val="11"/>
      <color rgb="FFFF0000"/>
      <name val="Aptos Narrow"/>
      <family val="2"/>
      <scheme val="minor"/>
    </font>
    <font>
      <b/>
      <sz val="15"/>
      <color rgb="FF002664"/>
      <name val="Aptos Narrow"/>
      <family val="2"/>
      <scheme val="minor"/>
    </font>
    <font>
      <sz val="11"/>
      <color theme="1"/>
      <name val="Aptos Narrow"/>
      <family val="2"/>
      <scheme val="minor"/>
    </font>
    <font>
      <sz val="11"/>
      <color rgb="FF002664"/>
      <name val="Aptos Narrow"/>
      <family val="2"/>
    </font>
    <font>
      <vertAlign val="superscript"/>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1" tint="0.499984740745262"/>
        <bgColor indexed="64"/>
      </patternFill>
    </fill>
    <fill>
      <patternFill patternType="solid">
        <fgColor theme="6" tint="0.7999816888943144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AFAC0"/>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medium">
        <color indexed="64"/>
      </left>
      <right style="medium">
        <color indexed="64"/>
      </right>
      <top style="medium">
        <color indexed="64"/>
      </top>
      <bottom/>
      <diagonal/>
    </border>
  </borders>
  <cellStyleXfs count="3">
    <xf numFmtId="0" fontId="0" fillId="0" borderId="0"/>
    <xf numFmtId="0" fontId="6" fillId="0" borderId="0" applyNumberFormat="0" applyFill="0" applyBorder="0" applyAlignment="0" applyProtection="0"/>
    <xf numFmtId="9" fontId="12" fillId="0" borderId="0" applyFont="0" applyFill="0" applyBorder="0" applyAlignment="0" applyProtection="0"/>
  </cellStyleXfs>
  <cellXfs count="76">
    <xf numFmtId="0" fontId="0" fillId="0" borderId="0" xfId="0"/>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0" fillId="0" borderId="0" xfId="0" applyAlignment="1">
      <alignment horizontal="center" vertical="center"/>
    </xf>
    <xf numFmtId="0" fontId="2" fillId="0" borderId="4" xfId="0" applyFont="1" applyBorder="1" applyAlignment="1">
      <alignment horizontal="center" vertical="center"/>
    </xf>
    <xf numFmtId="0" fontId="8" fillId="0" borderId="0" xfId="1" applyFont="1" applyAlignment="1">
      <alignment vertical="center"/>
    </xf>
    <xf numFmtId="0" fontId="2" fillId="0" borderId="5" xfId="0" applyFont="1" applyBorder="1" applyAlignment="1">
      <alignment horizontal="center" vertical="center"/>
    </xf>
    <xf numFmtId="0" fontId="0" fillId="0" borderId="0" xfId="0" applyAlignment="1">
      <alignment vertical="center" wrapText="1"/>
    </xf>
    <xf numFmtId="0" fontId="8" fillId="0" borderId="0" xfId="1" applyFont="1" applyFill="1" applyAlignment="1">
      <alignment vertical="center"/>
    </xf>
    <xf numFmtId="0" fontId="7" fillId="0" borderId="0" xfId="0" applyFont="1" applyAlignment="1">
      <alignmen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vertical="center"/>
    </xf>
    <xf numFmtId="0" fontId="11" fillId="0" borderId="0" xfId="0" applyFont="1" applyAlignment="1">
      <alignment vertical="center"/>
    </xf>
    <xf numFmtId="41" fontId="0" fillId="0" borderId="0" xfId="0" applyNumberFormat="1" applyAlignment="1">
      <alignment vertical="center"/>
    </xf>
    <xf numFmtId="41" fontId="2" fillId="0" borderId="5" xfId="0" applyNumberFormat="1" applyFont="1" applyBorder="1" applyAlignment="1">
      <alignment vertical="center"/>
    </xf>
    <xf numFmtId="41" fontId="2" fillId="0" borderId="7" xfId="0" applyNumberFormat="1" applyFont="1" applyBorder="1" applyAlignment="1">
      <alignment vertical="center"/>
    </xf>
    <xf numFmtId="0" fontId="2" fillId="2" borderId="2" xfId="0" applyFont="1" applyFill="1" applyBorder="1" applyAlignment="1">
      <alignment horizontal="center" vertical="center"/>
    </xf>
    <xf numFmtId="164" fontId="0" fillId="0" borderId="0" xfId="0" applyNumberFormat="1" applyAlignment="1">
      <alignment horizontal="center" vertical="center"/>
    </xf>
    <xf numFmtId="0" fontId="2" fillId="5" borderId="5" xfId="0" applyFont="1" applyFill="1" applyBorder="1" applyAlignment="1">
      <alignment horizontal="center" vertical="center"/>
    </xf>
    <xf numFmtId="0" fontId="13" fillId="0" borderId="0" xfId="0" applyFont="1" applyAlignment="1">
      <alignment vertical="center"/>
    </xf>
    <xf numFmtId="41" fontId="2" fillId="0" borderId="5" xfId="0" applyNumberFormat="1" applyFont="1" applyBorder="1" applyAlignment="1">
      <alignment horizontal="center" vertical="center"/>
    </xf>
    <xf numFmtId="41" fontId="2" fillId="0" borderId="7" xfId="0" applyNumberFormat="1" applyFont="1" applyBorder="1" applyAlignment="1">
      <alignment horizontal="center" vertical="center"/>
    </xf>
    <xf numFmtId="0" fontId="2" fillId="6" borderId="0" xfId="0" applyFont="1" applyFill="1" applyAlignment="1">
      <alignment vertical="center"/>
    </xf>
    <xf numFmtId="14" fontId="0" fillId="0" borderId="0" xfId="0" applyNumberFormat="1" applyAlignment="1">
      <alignment horizontal="center" vertical="center"/>
    </xf>
    <xf numFmtId="0" fontId="2" fillId="0" borderId="10" xfId="0" applyFont="1" applyBorder="1" applyAlignment="1">
      <alignment vertical="center"/>
    </xf>
    <xf numFmtId="41" fontId="2" fillId="0" borderId="11" xfId="0" applyNumberFormat="1" applyFont="1" applyBorder="1" applyAlignment="1">
      <alignment vertical="center"/>
    </xf>
    <xf numFmtId="0" fontId="2" fillId="0" borderId="12" xfId="0" applyFont="1" applyBorder="1" applyAlignment="1">
      <alignment vertical="center"/>
    </xf>
    <xf numFmtId="41" fontId="2" fillId="0" borderId="13" xfId="0" applyNumberFormat="1" applyFont="1" applyBorder="1" applyAlignment="1">
      <alignment horizontal="center" vertical="center"/>
    </xf>
    <xf numFmtId="0" fontId="7" fillId="0" borderId="8" xfId="0" applyFont="1" applyBorder="1" applyAlignment="1">
      <alignment vertical="center"/>
    </xf>
    <xf numFmtId="0" fontId="2" fillId="0" borderId="9" xfId="0" applyFont="1" applyBorder="1" applyAlignment="1">
      <alignment vertical="center"/>
    </xf>
    <xf numFmtId="41" fontId="2" fillId="0" borderId="13" xfId="0" applyNumberFormat="1" applyFont="1" applyBorder="1" applyAlignment="1">
      <alignment vertical="center"/>
    </xf>
    <xf numFmtId="0" fontId="2" fillId="0" borderId="14" xfId="0" applyFont="1" applyBorder="1" applyAlignment="1">
      <alignment vertical="center"/>
    </xf>
    <xf numFmtId="0" fontId="2" fillId="0" borderId="15" xfId="0" applyFont="1" applyBorder="1" applyAlignment="1">
      <alignment horizontal="center" vertical="center"/>
    </xf>
    <xf numFmtId="41" fontId="2" fillId="0" borderId="15" xfId="0" applyNumberFormat="1" applyFont="1" applyBorder="1" applyAlignment="1">
      <alignment vertical="center"/>
    </xf>
    <xf numFmtId="41" fontId="2" fillId="0" borderId="16" xfId="0" applyNumberFormat="1" applyFont="1" applyBorder="1" applyAlignment="1">
      <alignment vertical="center"/>
    </xf>
    <xf numFmtId="41" fontId="0" fillId="0" borderId="0" xfId="0" applyNumberFormat="1" applyAlignment="1">
      <alignment horizontal="center" vertical="center"/>
    </xf>
    <xf numFmtId="9" fontId="0" fillId="0" borderId="0" xfId="0" applyNumberFormat="1" applyAlignment="1">
      <alignment horizontal="center" vertical="center"/>
    </xf>
    <xf numFmtId="43" fontId="0" fillId="0" borderId="0" xfId="0" applyNumberFormat="1" applyAlignment="1">
      <alignment horizontal="center" vertical="center"/>
    </xf>
    <xf numFmtId="9" fontId="0" fillId="0" borderId="0" xfId="2" applyFont="1" applyBorder="1" applyAlignment="1">
      <alignment horizontal="center" vertical="center"/>
    </xf>
    <xf numFmtId="41" fontId="0" fillId="0" borderId="0" xfId="2" applyNumberFormat="1" applyFont="1" applyFill="1" applyBorder="1" applyAlignment="1">
      <alignment horizontal="center" vertical="center"/>
    </xf>
    <xf numFmtId="0" fontId="0" fillId="0" borderId="0" xfId="0" applyAlignment="1">
      <alignment horizontal="left" vertical="center"/>
    </xf>
    <xf numFmtId="0" fontId="0" fillId="4" borderId="0" xfId="0" applyFill="1" applyAlignment="1">
      <alignment horizontal="center" vertical="center"/>
    </xf>
    <xf numFmtId="0" fontId="0" fillId="3" borderId="0" xfId="0" applyFill="1" applyAlignment="1">
      <alignment horizontal="center" vertical="center"/>
    </xf>
    <xf numFmtId="0" fontId="0" fillId="2" borderId="0" xfId="0" applyFill="1" applyAlignment="1">
      <alignment horizontal="center" vertical="center"/>
    </xf>
    <xf numFmtId="0" fontId="2" fillId="0" borderId="0" xfId="0" applyFont="1" applyAlignment="1">
      <alignment horizontal="center" vertical="center"/>
    </xf>
    <xf numFmtId="0" fontId="2" fillId="0" borderId="2" xfId="0" applyFont="1" applyBorder="1" applyAlignment="1">
      <alignment vertical="center"/>
    </xf>
    <xf numFmtId="41" fontId="2" fillId="0" borderId="0" xfId="0" applyNumberFormat="1" applyFont="1" applyAlignment="1">
      <alignment vertical="center"/>
    </xf>
    <xf numFmtId="0" fontId="2" fillId="0" borderId="4" xfId="0" applyFont="1" applyBorder="1" applyAlignment="1">
      <alignment vertical="center"/>
    </xf>
    <xf numFmtId="41" fontId="2" fillId="0" borderId="4" xfId="0" applyNumberFormat="1" applyFont="1" applyBorder="1" applyAlignment="1">
      <alignment vertical="center"/>
    </xf>
    <xf numFmtId="43" fontId="2" fillId="0" borderId="0" xfId="0" applyNumberFormat="1" applyFont="1" applyAlignment="1">
      <alignment vertical="center"/>
    </xf>
    <xf numFmtId="9" fontId="2" fillId="0" borderId="0" xfId="2" applyFont="1" applyBorder="1" applyAlignment="1">
      <alignment vertical="center"/>
    </xf>
    <xf numFmtId="41" fontId="2" fillId="0" borderId="0" xfId="2" applyNumberFormat="1" applyFont="1" applyFill="1" applyBorder="1" applyAlignment="1">
      <alignment vertical="center"/>
    </xf>
    <xf numFmtId="0" fontId="7" fillId="0" borderId="2" xfId="0" applyFont="1" applyBorder="1" applyAlignment="1">
      <alignment vertical="center"/>
    </xf>
    <xf numFmtId="41" fontId="2" fillId="2" borderId="2" xfId="0" applyNumberFormat="1" applyFont="1" applyFill="1" applyBorder="1" applyAlignment="1">
      <alignment vertical="center"/>
    </xf>
    <xf numFmtId="0" fontId="2" fillId="0" borderId="17" xfId="0" applyFont="1" applyBorder="1" applyAlignment="1">
      <alignment vertical="center"/>
    </xf>
    <xf numFmtId="164" fontId="0" fillId="0" borderId="0" xfId="0" applyNumberFormat="1" applyAlignment="1">
      <alignment vertical="center"/>
    </xf>
    <xf numFmtId="0" fontId="6" fillId="0" borderId="0" xfId="1" applyBorder="1" applyAlignment="1">
      <alignment vertical="center"/>
    </xf>
    <xf numFmtId="0" fontId="0" fillId="0" borderId="0" xfId="0" applyAlignment="1">
      <alignment horizontal="center" vertical="center" wrapText="1"/>
    </xf>
    <xf numFmtId="0" fontId="2" fillId="5" borderId="5" xfId="0" applyFont="1" applyFill="1" applyBorder="1" applyAlignment="1">
      <alignment horizontal="left" vertical="center"/>
    </xf>
    <xf numFmtId="0" fontId="0" fillId="2" borderId="0" xfId="0" applyFill="1" applyAlignment="1">
      <alignment vertical="center"/>
    </xf>
    <xf numFmtId="41" fontId="2" fillId="0" borderId="9" xfId="0" applyNumberFormat="1" applyFont="1" applyBorder="1" applyAlignment="1">
      <alignment vertical="center"/>
    </xf>
    <xf numFmtId="0" fontId="2" fillId="6" borderId="5" xfId="0" applyFont="1" applyFill="1" applyBorder="1" applyAlignment="1" applyProtection="1">
      <alignment horizontal="left" vertical="center"/>
      <protection locked="0"/>
    </xf>
    <xf numFmtId="0" fontId="0" fillId="6" borderId="0" xfId="0" applyFill="1" applyAlignment="1" applyProtection="1">
      <alignment vertical="center"/>
      <protection locked="0"/>
    </xf>
    <xf numFmtId="0" fontId="0" fillId="6" borderId="0" xfId="0" applyFill="1" applyAlignment="1" applyProtection="1">
      <alignment horizontal="center" vertical="center"/>
      <protection locked="0"/>
    </xf>
    <xf numFmtId="41" fontId="0" fillId="6" borderId="0" xfId="0" applyNumberFormat="1" applyFill="1" applyAlignment="1" applyProtection="1">
      <alignment vertical="center"/>
      <protection locked="0"/>
    </xf>
    <xf numFmtId="41" fontId="0" fillId="6" borderId="0" xfId="0" applyNumberFormat="1" applyFill="1" applyAlignment="1" applyProtection="1">
      <alignment horizontal="center" vertical="center"/>
      <protection locked="0"/>
    </xf>
    <xf numFmtId="0" fontId="6" fillId="6" borderId="0" xfId="1" applyFill="1" applyBorder="1" applyAlignment="1" applyProtection="1">
      <alignment vertical="center"/>
      <protection locked="0"/>
    </xf>
    <xf numFmtId="164" fontId="0" fillId="6" borderId="0" xfId="0" applyNumberFormat="1" applyFill="1" applyAlignment="1" applyProtection="1">
      <alignment vertical="center"/>
      <protection locked="0"/>
    </xf>
    <xf numFmtId="0" fontId="2" fillId="6" borderId="0" xfId="0" applyFont="1" applyFill="1" applyAlignment="1" applyProtection="1">
      <alignment vertical="center"/>
      <protection locked="0"/>
    </xf>
    <xf numFmtId="41" fontId="2" fillId="6" borderId="0" xfId="0" applyNumberFormat="1" applyFont="1" applyFill="1" applyAlignment="1" applyProtection="1">
      <alignment horizontal="center" vertical="center"/>
      <protection locked="0"/>
    </xf>
    <xf numFmtId="41" fontId="2" fillId="6" borderId="0" xfId="0" applyNumberFormat="1" applyFont="1" applyFill="1" applyAlignment="1" applyProtection="1">
      <alignment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cellXfs>
  <cellStyles count="3">
    <cellStyle name="Hyperlink" xfId="1" builtinId="8"/>
    <cellStyle name="Normal" xfId="0" builtinId="0"/>
    <cellStyle name="Percent" xfId="2" builtinId="5"/>
  </cellStyles>
  <dxfs count="1590">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right style="thin">
          <color auto="1"/>
        </right>
        <top style="thin">
          <color indexed="64"/>
        </top>
        <bottom style="thin">
          <color indexed="64"/>
        </bottom>
        <vertical style="thin">
          <color auto="1"/>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center" vertical="center" textRotation="0" wrapText="0" indent="0" justifyLastLine="0" shrinkToFit="0" readingOrder="0"/>
      <protection locked="0" hidden="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none">
          <fgColor indexed="64"/>
          <bgColor auto="1"/>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alignment horizontal="center"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rgb="FF002664"/>
        <name val="Aptos Narrow"/>
        <family val="2"/>
        <scheme val="minor"/>
      </font>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sz val="11"/>
        <color rgb="FF002664"/>
        <name val="Aptos Narrow"/>
        <family val="2"/>
        <scheme val="minor"/>
      </font>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vertical="center" textRotation="0" wrapText="0" indent="0" justifyLastLine="0" shrinkToFit="0" readingOrder="0"/>
    </dxf>
    <dxf>
      <alignment horizontal="general"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ont>
        <b/>
        <i val="0"/>
        <color rgb="FF002664"/>
      </font>
      <fill>
        <patternFill patternType="none">
          <bgColor auto="1"/>
        </patternFill>
      </fill>
      <border>
        <top style="double">
          <color auto="1"/>
        </top>
      </border>
    </dxf>
    <dxf>
      <font>
        <b/>
        <i val="0"/>
        <color rgb="FF002664"/>
      </font>
      <fill>
        <patternFill>
          <bgColor theme="6" tint="0.79998168889431442"/>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
      <font>
        <b/>
        <i val="0"/>
        <color rgb="FF002664"/>
      </font>
      <fill>
        <patternFill patternType="none">
          <bgColor auto="1"/>
        </patternFill>
      </fill>
      <border>
        <top style="double">
          <color auto="1"/>
        </top>
      </border>
    </dxf>
    <dxf>
      <font>
        <b/>
        <i val="0"/>
        <color rgb="FF002664"/>
      </font>
      <fill>
        <patternFill>
          <bgColor theme="5" tint="0.79998168889431442"/>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
      <font>
        <b/>
        <i val="0"/>
        <color rgb="FF002664"/>
      </font>
      <fill>
        <patternFill patternType="none">
          <bgColor auto="1"/>
        </patternFill>
      </fill>
      <border>
        <top style="double">
          <color auto="1"/>
        </top>
      </border>
    </dxf>
    <dxf>
      <font>
        <b/>
        <i val="0"/>
        <color rgb="FF002664"/>
      </font>
      <fill>
        <patternFill>
          <bgColor theme="3" tint="0.89996032593768116"/>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s>
  <tableStyles count="3" defaultTableStyle="TableStyleMedium2" defaultPivotStyle="PivotStyleLight16">
    <tableStyle name="Baseline Table" pivot="0" count="3" xr9:uid="{4F20F77B-4E21-4582-B5A3-50382843D2E0}">
      <tableStyleElement type="wholeTable" dxfId="1589"/>
      <tableStyleElement type="headerRow" dxfId="1588"/>
      <tableStyleElement type="totalRow" dxfId="1587"/>
    </tableStyle>
    <tableStyle name="Calculations Table" pivot="0" count="3" xr9:uid="{1E38C61B-AADE-4E01-93A9-B715035DCE5F}">
      <tableStyleElement type="wholeTable" dxfId="1586"/>
      <tableStyleElement type="headerRow" dxfId="1585"/>
      <tableStyleElement type="totalRow" dxfId="1584"/>
    </tableStyle>
    <tableStyle name="Project Table" pivot="0" count="3" xr9:uid="{9261E820-6478-4CDB-9797-3B652524914D}">
      <tableStyleElement type="wholeTable" dxfId="1583"/>
      <tableStyleElement type="headerRow" dxfId="1582"/>
      <tableStyleElement type="totalRow" dxfId="1581"/>
    </tableStyle>
  </tableStyles>
  <colors>
    <mruColors>
      <color rgb="FF002664"/>
      <color rgb="FFFAFAC0"/>
      <color rgb="FFCEBFFF"/>
      <color rgb="FFFAFA9B"/>
      <color rgb="FF156082"/>
      <color rgb="FFE6E1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50800</xdr:colOff>
      <xdr:row>3</xdr:row>
      <xdr:rowOff>177748</xdr:rowOff>
    </xdr:to>
    <xdr:pic>
      <xdr:nvPicPr>
        <xdr:cNvPr id="2" name="Picture 1">
          <a:extLst>
            <a:ext uri="{FF2B5EF4-FFF2-40B4-BE49-F238E27FC236}">
              <a16:creationId xmlns:a16="http://schemas.microsoft.com/office/drawing/2014/main" id="{2F331317-C2D2-4808-BC65-CA913CF7C9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7225" cy="7105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FE2A4B8-A2C7-4D71-8F1C-FB0BA75B99B8}" name="BaseSource" displayName="BaseSource" ref="B33:BI37" headerRowDxfId="1580" dataDxfId="1579" tableBorderDxfId="1578">
  <autoFilter ref="B33:BI37" xr:uid="{DFE2A4B8-A2C7-4D71-8F1C-FB0BA75B99B8}"/>
  <tableColumns count="60">
    <tableColumn id="1" xr3:uid="{10F4D0D5-44E6-49DE-8E81-F976CF0F5498}" name="Item" totalsRowLabel="Total emissions - scope 1" dataDxfId="1577" totalsRowDxfId="1576"/>
    <tableColumn id="2" xr3:uid="{24710438-64AC-4843-A3D8-EB92DA30F2E7}" name="Description" dataDxfId="1575" totalsRowDxfId="1574"/>
    <tableColumn id="3" xr3:uid="{76C255BA-BAF4-491E-82F3-562C7A7C37DE}" name="Unit" totalsRowLabel="tCO2-e" dataDxfId="1573" totalsRowDxfId="1572"/>
    <tableColumn id="4" xr3:uid="{85074085-381C-4408-A810-F59EF1F535CF}" name="Source" totalsRowLabel="All" dataDxfId="1571" totalsRowDxfId="1570"/>
    <tableColumn id="40" xr3:uid="{3FC20217-7384-493E-AEC4-C62FF2248F35}" name="FY24/25" dataDxfId="1569" totalsRowDxfId="1568"/>
    <tableColumn id="5" xr3:uid="{625C331B-0411-492C-B753-10C12E4DCDBC}" name="FY25/26" totalsRowFunction="sum" dataDxfId="1567" totalsRowDxfId="1566"/>
    <tableColumn id="6" xr3:uid="{D6D526E9-4128-4BE3-81C7-14E05F079050}" name="FY26/27" totalsRowFunction="sum" dataDxfId="1565" totalsRowDxfId="1564"/>
    <tableColumn id="7" xr3:uid="{56512F30-2825-4666-8026-ACA461872BAC}" name="FY27/28" totalsRowFunction="sum" dataDxfId="1563" totalsRowDxfId="1562"/>
    <tableColumn id="8" xr3:uid="{3C6BD5BD-DFBB-4309-A2EE-6C3B3843EB69}" name="FY28/29" totalsRowFunction="sum" dataDxfId="1561" totalsRowDxfId="1560"/>
    <tableColumn id="9" xr3:uid="{849E6521-C04A-4185-801C-6282CB1E9F00}" name="FY29/30" totalsRowFunction="sum" dataDxfId="1559" totalsRowDxfId="1558"/>
    <tableColumn id="10" xr3:uid="{453DB4D5-AD3A-4C3F-B43D-1002BE3DF549}" name="FY30/31" totalsRowFunction="sum" dataDxfId="1557" totalsRowDxfId="1556"/>
    <tableColumn id="11" xr3:uid="{81B7D623-AEC8-46F7-9819-FBBED085410F}" name="FY31/32" totalsRowFunction="sum" dataDxfId="1555" totalsRowDxfId="1554"/>
    <tableColumn id="12" xr3:uid="{8BCDBCDC-0F9B-4030-A5E1-8EF2EF6BE111}" name="FY32/33" totalsRowFunction="sum" dataDxfId="1553" totalsRowDxfId="1552"/>
    <tableColumn id="13" xr3:uid="{12EFCFA9-054F-4D5E-B1F6-EAFCAB45AAE7}" name="FY33/34" totalsRowFunction="sum" dataDxfId="1551" totalsRowDxfId="1550"/>
    <tableColumn id="14" xr3:uid="{8E148232-D648-4BCC-8C92-725E10142374}" name="FY34/35" totalsRowFunction="sum" dataDxfId="1549" totalsRowDxfId="1548"/>
    <tableColumn id="15" xr3:uid="{C4FE6159-ECA0-490F-8434-B66B624DF988}" name="FY35/36" totalsRowFunction="sum" dataDxfId="1547" totalsRowDxfId="1546"/>
    <tableColumn id="16" xr3:uid="{82B2CB68-EF4F-4546-B8ED-C5A3FF18027B}" name="FY36/37" totalsRowFunction="sum" dataDxfId="1545" totalsRowDxfId="1544"/>
    <tableColumn id="17" xr3:uid="{7E6D5132-7082-4211-A1BB-437620FA8AAB}" name="FY37/38" totalsRowFunction="sum" dataDxfId="1543" totalsRowDxfId="1542"/>
    <tableColumn id="18" xr3:uid="{E30B71AC-5A96-453F-AAB8-53EA12405543}" name="FY38/39" totalsRowFunction="sum" dataDxfId="1541" totalsRowDxfId="1540"/>
    <tableColumn id="19" xr3:uid="{D9FDA2CD-1D6D-4385-BAD5-BE4FE3AB7578}" name="FY39/40" totalsRowFunction="sum" dataDxfId="1539" totalsRowDxfId="1538"/>
    <tableColumn id="20" xr3:uid="{E6CE797C-BD49-4C10-B617-428433254DE3}" name="FY40/41" totalsRowFunction="sum" dataDxfId="1537" totalsRowDxfId="1536"/>
    <tableColumn id="21" xr3:uid="{71FBEB5C-85AE-4311-96EA-CC11E3E90F02}" name="FY41/42" totalsRowFunction="sum" dataDxfId="1535" totalsRowDxfId="1534"/>
    <tableColumn id="22" xr3:uid="{3C7EDF0E-D991-48C7-B275-19C9AABCD576}" name="FY42/43" totalsRowFunction="sum" dataDxfId="1533" totalsRowDxfId="1532"/>
    <tableColumn id="23" xr3:uid="{6B048177-36D5-406C-A63B-D7249D6F3BE5}" name="FY43/44" totalsRowFunction="sum" dataDxfId="1531" totalsRowDxfId="1530"/>
    <tableColumn id="24" xr3:uid="{42F7E939-A3E0-4245-A849-04933BC32EE0}" name="FY44/45" totalsRowFunction="sum" dataDxfId="1529" totalsRowDxfId="1528"/>
    <tableColumn id="25" xr3:uid="{AC1E3EE0-1684-4C7F-B73E-795B48DC84EE}" name="FY45/46" totalsRowFunction="sum" dataDxfId="1527" totalsRowDxfId="1526"/>
    <tableColumn id="26" xr3:uid="{17DC5243-D03C-4129-AFD0-8F71AA5C254F}" name="FY46/47" totalsRowFunction="sum" dataDxfId="1525" totalsRowDxfId="1524"/>
    <tableColumn id="27" xr3:uid="{6C30E2A1-579A-46B7-8137-57959138FD6E}" name="FY47/48" totalsRowFunction="sum" dataDxfId="1523" totalsRowDxfId="1522"/>
    <tableColumn id="28" xr3:uid="{3714DAAB-B300-4F62-8651-24D83F20CE39}" name="FY48/49" totalsRowFunction="sum" dataDxfId="1521" totalsRowDxfId="1520"/>
    <tableColumn id="29" xr3:uid="{3B216306-6EA3-4E70-877B-6E2AC5C045F7}" name="FY49/50" totalsRowFunction="sum" dataDxfId="1519" totalsRowDxfId="1518"/>
    <tableColumn id="30" xr3:uid="{FEE63CF1-3E4E-46F3-9F3F-F5A7917A791E}" name="FY50/51" totalsRowFunction="sum" dataDxfId="1517" totalsRowDxfId="1516"/>
    <tableColumn id="31" xr3:uid="{72FD60D1-7B9E-48F8-A3CA-9A3ED93FFE03}" name="FY51/52" totalsRowFunction="sum" dataDxfId="1515" totalsRowDxfId="1514"/>
    <tableColumn id="32" xr3:uid="{D312A645-019B-410D-8B51-ECEAF81EBAF4}" name="FY52/53" totalsRowFunction="sum" dataDxfId="1513" totalsRowDxfId="1512"/>
    <tableColumn id="33" xr3:uid="{5599CF2C-2E1C-4950-8EA0-EF3DBF91918B}" name="FY53/54" totalsRowFunction="sum" dataDxfId="1511" totalsRowDxfId="1510"/>
    <tableColumn id="34" xr3:uid="{E34E3449-FB44-477A-9A70-3AD3B960ED0D}" name="FY54/55" totalsRowFunction="sum" dataDxfId="1509" totalsRowDxfId="1508"/>
    <tableColumn id="35" xr3:uid="{4F46D6B3-0880-4162-B259-022866B7E628}" name="FY55/56" totalsRowFunction="sum" dataDxfId="1507" totalsRowDxfId="1506"/>
    <tableColumn id="36" xr3:uid="{9A2EA557-5D97-4152-AAC5-93040016D720}" name="FY56/57" totalsRowFunction="sum" dataDxfId="1505" totalsRowDxfId="1504"/>
    <tableColumn id="37" xr3:uid="{65EA0D86-A888-4D73-A117-F607BAE460DE}" name="FY57/58" totalsRowFunction="sum" dataDxfId="1503" totalsRowDxfId="1502"/>
    <tableColumn id="38" xr3:uid="{F17B166D-14E0-4E91-8C7A-6A671D8FC4C8}" name="FY58/59" totalsRowFunction="sum" dataDxfId="1501" totalsRowDxfId="1500"/>
    <tableColumn id="39" xr3:uid="{24C09041-E046-43BE-9A4D-64FCBBA24C0F}" name="FY59/60" totalsRowFunction="sum" dataDxfId="1499" totalsRowDxfId="1498"/>
    <tableColumn id="41" xr3:uid="{5554C15F-5BA8-436C-B4A4-1DD47F8AAB68}" name="FY60/61" dataDxfId="1497" totalsRowDxfId="1496"/>
    <tableColumn id="42" xr3:uid="{0C21A3F1-A4E2-4EFD-9612-C77F28F072F6}" name="FY61/62" dataDxfId="1495" totalsRowDxfId="1494"/>
    <tableColumn id="43" xr3:uid="{6F7CBD87-D0B8-49FD-9870-4584002F09E4}" name="FY62/63" dataDxfId="1493" totalsRowDxfId="1492"/>
    <tableColumn id="44" xr3:uid="{757FA06E-D9A9-4160-9996-CFCE37A4E4EA}" name="FY63/64" dataDxfId="1491" totalsRowDxfId="1490"/>
    <tableColumn id="45" xr3:uid="{0BB97EE1-77A2-4A42-8904-11BC4BDE7F2D}" name="FY64/65" dataDxfId="1489" totalsRowDxfId="1488"/>
    <tableColumn id="46" xr3:uid="{E47DC435-4E60-4838-A28F-049E03A0CFC7}" name="FY65/66" dataDxfId="1487" totalsRowDxfId="1486"/>
    <tableColumn id="47" xr3:uid="{75B95592-2C3E-46F5-BAD9-544A4ADF9B2C}" name="FY66/67" dataDxfId="1485" totalsRowDxfId="1484"/>
    <tableColumn id="48" xr3:uid="{2D276512-595D-40EC-92D7-A02B5182B527}" name="FY67/68" dataDxfId="1483" totalsRowDxfId="1482"/>
    <tableColumn id="49" xr3:uid="{F60E1882-5AF1-423C-9305-25720055C3A0}" name="FY68/69" dataDxfId="1481" totalsRowDxfId="1480"/>
    <tableColumn id="50" xr3:uid="{6759C439-A153-42E8-B209-604226A2989E}" name="FY69/70" dataDxfId="1479" totalsRowDxfId="1478"/>
    <tableColumn id="51" xr3:uid="{A910D6ED-025C-4CE9-94A5-16ACBC592446}" name="FY70/71" dataDxfId="1477" totalsRowDxfId="1476"/>
    <tableColumn id="52" xr3:uid="{4244FE56-AE12-4619-ABDF-5EDBD8F4B994}" name="FY71/72" dataDxfId="1475" totalsRowDxfId="1474"/>
    <tableColumn id="53" xr3:uid="{21ED4262-4F14-4386-8A68-C96696F5FBB1}" name="FY72/73" dataDxfId="1473" totalsRowDxfId="1472"/>
    <tableColumn id="54" xr3:uid="{AFC7DAEA-8DA7-4D1E-99E6-DC94DD13FBCD}" name="FY73/74" dataDxfId="1471" totalsRowDxfId="1470"/>
    <tableColumn id="55" xr3:uid="{CAFFB920-606F-4B7D-BCDB-ABCFF044CF26}" name="FY74/75" dataDxfId="1469" totalsRowDxfId="1468"/>
    <tableColumn id="56" xr3:uid="{802B1ADA-ACB6-4641-BB30-1FC35C9AE5DE}" name="FY75/76" dataDxfId="1467" totalsRowDxfId="1466"/>
    <tableColumn id="57" xr3:uid="{3382CC98-E4AB-4ED6-8599-C2624CD3A660}" name="FY76/77" dataDxfId="1465" totalsRowDxfId="1464"/>
    <tableColumn id="58" xr3:uid="{75E97518-8158-4359-BFD0-7543105A4E04}" name="FY77/78" dataDxfId="1463" totalsRowDxfId="1462"/>
    <tableColumn id="59" xr3:uid="{81249C02-D22D-46B7-8678-72392FAC960B}" name="FY78/79" dataDxfId="1461" totalsRowDxfId="1460"/>
    <tableColumn id="60" xr3:uid="{F5ED8280-0E26-4988-85E9-8C833B1EEB1A}" name="FY79/80" dataDxfId="1459" totalsRowDxfId="1458"/>
  </tableColumns>
  <tableStyleInfo name="Baseline 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599A9FE-19A7-4217-8162-3D8D5A14F29F}" name="NetCosts" displayName="NetCosts" ref="B14:BH21" totalsRowCount="1" headerRowDxfId="824" dataDxfId="823" totalsRowDxfId="821" tableBorderDxfId="822">
  <autoFilter ref="B14:BH20" xr:uid="{7599A9FE-19A7-4217-8162-3D8D5A14F29F}"/>
  <tableColumns count="59">
    <tableColumn id="1" xr3:uid="{F8EBE0AC-AEE2-4163-AAA5-F430CBDEAF47}" name="Item" totalsRowLabel="Revenue (plus) funding (minus) costs" dataDxfId="820" totalsRowDxfId="819"/>
    <tableColumn id="2" xr3:uid="{829B840C-0D1C-473A-8069-1EA80BBC72A3}" name="Description" dataDxfId="818" totalsRowDxfId="817"/>
    <tableColumn id="3" xr3:uid="{4379274C-171F-48DB-AAE3-5FB45A68994E}" name="Unit" totalsRowLabel="$" dataDxfId="816" totalsRowDxfId="815"/>
    <tableColumn id="39" xr3:uid="{DB7EB8BD-5CEC-493C-9695-2998A32D4F81}" name="FY24/25" totalsRowFunction="custom" dataDxfId="814" totalsRowDxfId="813">
      <totalsRowFormula>E17+E18+E19+E20-E15-E16</totalsRowFormula>
    </tableColumn>
    <tableColumn id="4" xr3:uid="{986F9287-86AF-48E2-8A5D-242C7F11F3C3}" name="FY25/26" totalsRowFunction="custom" dataDxfId="812" totalsRowDxfId="811">
      <totalsRowFormula>F17+F18+F19+F20-F15-F16</totalsRowFormula>
    </tableColumn>
    <tableColumn id="5" xr3:uid="{E7FC72E7-027E-44A5-8803-559F238239BF}" name="FY26/27" totalsRowFunction="custom" dataDxfId="810" totalsRowDxfId="809">
      <totalsRowFormula>G17+G18+G19+G20-G15-G16</totalsRowFormula>
    </tableColumn>
    <tableColumn id="6" xr3:uid="{8DC692E0-9986-4D48-A262-0FA70FF2FD44}" name="FY27/28" totalsRowFunction="custom" dataDxfId="808" totalsRowDxfId="807">
      <totalsRowFormula>H17+H18+H19+H20-H15-H16</totalsRowFormula>
    </tableColumn>
    <tableColumn id="7" xr3:uid="{ADAE8D30-A0C0-4C9D-B00B-50772455E078}" name="FY28/29" totalsRowFunction="custom" dataDxfId="806" totalsRowDxfId="805">
      <totalsRowFormula>I17+I18+I19+I20-I15-I16</totalsRowFormula>
    </tableColumn>
    <tableColumn id="8" xr3:uid="{4176A730-F7B6-4922-8D9D-C3D4FC16D246}" name="FY29/30" totalsRowFunction="custom" dataDxfId="804" totalsRowDxfId="803">
      <totalsRowFormula>J17+J18+J19+J20-J15-J16</totalsRowFormula>
    </tableColumn>
    <tableColumn id="9" xr3:uid="{EAEC2F3D-62B4-4F22-A342-23F0C5AB6B5D}" name="FY30/31" totalsRowFunction="custom" dataDxfId="802" totalsRowDxfId="801">
      <totalsRowFormula>K17+K18+K19+K20-K15-K16</totalsRowFormula>
    </tableColumn>
    <tableColumn id="10" xr3:uid="{D8E851F7-BCFC-4D24-B7D4-78B57D56DF1D}" name="FY31/32" totalsRowFunction="custom" dataDxfId="800" totalsRowDxfId="799">
      <totalsRowFormula>L17+L18+L19+L20-L15-L16</totalsRowFormula>
    </tableColumn>
    <tableColumn id="11" xr3:uid="{EFC71FA8-5E02-413C-BC04-BC1228DFAB74}" name="FY32/33" totalsRowFunction="custom" dataDxfId="798" totalsRowDxfId="797">
      <totalsRowFormula>M17+M18+M19+M20-M15-M16</totalsRowFormula>
    </tableColumn>
    <tableColumn id="12" xr3:uid="{E9EEB22C-769A-409B-8393-52F55FDD34F3}" name="FY33/34" totalsRowFunction="custom" dataDxfId="796" totalsRowDxfId="795">
      <totalsRowFormula>N17+N18+N19+N20-N15-N16</totalsRowFormula>
    </tableColumn>
    <tableColumn id="13" xr3:uid="{902D8F70-9CA0-4432-BCD5-E791D2A7AECF}" name="FY34/35" totalsRowFunction="custom" dataDxfId="794" totalsRowDxfId="793">
      <totalsRowFormula>O17+O18+O19+O20-O15-O16</totalsRowFormula>
    </tableColumn>
    <tableColumn id="14" xr3:uid="{170FEF91-003A-47C9-84B1-D368193172AE}" name="FY35/36" totalsRowFunction="custom" dataDxfId="792" totalsRowDxfId="791">
      <totalsRowFormula>P17+P18+P19+P20-P15-P16</totalsRowFormula>
    </tableColumn>
    <tableColumn id="15" xr3:uid="{F0080BDB-10C0-4739-8CB1-9166E96DA1C6}" name="FY36/37" totalsRowFunction="custom" dataDxfId="790" totalsRowDxfId="789">
      <totalsRowFormula>Q17+Q18+Q19+Q20-Q15-Q16</totalsRowFormula>
    </tableColumn>
    <tableColumn id="16" xr3:uid="{4045F0A6-B864-4404-A525-87F09C8B4CC7}" name="FY37/38" totalsRowFunction="custom" dataDxfId="788" totalsRowDxfId="787">
      <totalsRowFormula>R17+R18+R19+R20-R15-R16</totalsRowFormula>
    </tableColumn>
    <tableColumn id="17" xr3:uid="{83A5BB3F-608D-47CE-8C7A-D0F479717824}" name="FY38/39" totalsRowFunction="custom" dataDxfId="786" totalsRowDxfId="785">
      <totalsRowFormula>S17+S18+S19+S20-S15-S16</totalsRowFormula>
    </tableColumn>
    <tableColumn id="18" xr3:uid="{BF1E9F2E-7DEA-44E1-B3F2-E3EA7CBF3D58}" name="FY39/40" totalsRowFunction="custom" dataDxfId="784" totalsRowDxfId="783">
      <totalsRowFormula>T17+T18+T19+T20-T15-T16</totalsRowFormula>
    </tableColumn>
    <tableColumn id="19" xr3:uid="{CFC4EE9A-DED1-4752-8B77-AE793EFE0F7E}" name="FY40/41" totalsRowFunction="custom" dataDxfId="782" totalsRowDxfId="781">
      <totalsRowFormula>U17+U18+U19+U20-U15-U16</totalsRowFormula>
    </tableColumn>
    <tableColumn id="20" xr3:uid="{387BBAAE-B486-4C7A-AB27-08C2199DEB64}" name="FY41/42" totalsRowFunction="custom" dataDxfId="780" totalsRowDxfId="779">
      <totalsRowFormula>V17+V18+V19+V20-V15-V16</totalsRowFormula>
    </tableColumn>
    <tableColumn id="21" xr3:uid="{DE56309A-70F5-4F8A-B160-505D3E8CF8C1}" name="FY42/43" totalsRowFunction="custom" dataDxfId="778" totalsRowDxfId="777">
      <totalsRowFormula>W17+W18+W19+W20-W15-W16</totalsRowFormula>
    </tableColumn>
    <tableColumn id="22" xr3:uid="{92178D20-A49B-4BA9-BE11-45AD9263D582}" name="FY43/44" totalsRowFunction="custom" dataDxfId="776" totalsRowDxfId="775">
      <totalsRowFormula>X17+X18+X19+X20-X15-X16</totalsRowFormula>
    </tableColumn>
    <tableColumn id="23" xr3:uid="{887834E3-D8CA-4302-B75E-B71DDD288A48}" name="FY44/45" totalsRowFunction="custom" dataDxfId="774" totalsRowDxfId="773">
      <totalsRowFormula>Y17+Y18+Y19+Y20-Y15-Y16</totalsRowFormula>
    </tableColumn>
    <tableColumn id="24" xr3:uid="{2DBE24D7-5F37-457D-8EA8-677F94330E83}" name="FY45/46" totalsRowFunction="custom" dataDxfId="772" totalsRowDxfId="771">
      <totalsRowFormula>Z17+Z18+Z19+Z20-Z15-Z16</totalsRowFormula>
    </tableColumn>
    <tableColumn id="25" xr3:uid="{55495CCD-3332-4F38-8619-3DC4A2B0CED8}" name="FY46/47" totalsRowFunction="custom" dataDxfId="770" totalsRowDxfId="769">
      <totalsRowFormula>AA17+AA18+AA19+AA20-AA15-AA16</totalsRowFormula>
    </tableColumn>
    <tableColumn id="26" xr3:uid="{0564835D-AF66-4306-9135-AAA26DAC045F}" name="FY47/48" totalsRowFunction="custom" dataDxfId="768" totalsRowDxfId="767">
      <totalsRowFormula>AB17+AB18+AB19+AB20-AB15-AB16</totalsRowFormula>
    </tableColumn>
    <tableColumn id="27" xr3:uid="{5B528BDA-B9A5-4EC9-A8B1-AF9C05585FEC}" name="FY48/49" totalsRowFunction="custom" dataDxfId="766" totalsRowDxfId="765">
      <totalsRowFormula>AC17+AC18+AC19+AC20-AC15-AC16</totalsRowFormula>
    </tableColumn>
    <tableColumn id="28" xr3:uid="{1668B2DE-66DD-41FB-9B55-F1BD523B6E07}" name="FY49/50" totalsRowFunction="custom" dataDxfId="764" totalsRowDxfId="763">
      <totalsRowFormula>AD17+AD18+AD19+AD20-AD15-AD16</totalsRowFormula>
    </tableColumn>
    <tableColumn id="29" xr3:uid="{E842CC0A-BF72-409C-898B-37E9351B4159}" name="FY50/51" totalsRowFunction="custom" dataDxfId="762" totalsRowDxfId="761">
      <totalsRowFormula>AE17+AE18+AE19+AE20-AE15-AE16</totalsRowFormula>
    </tableColumn>
    <tableColumn id="30" xr3:uid="{3A72BFFD-F584-4879-B5D4-D52EEB4F4E6A}" name="FY51/52" totalsRowFunction="custom" dataDxfId="760" totalsRowDxfId="759">
      <totalsRowFormula>AF17+AF18+AF19+AF20-AF15-AF16</totalsRowFormula>
    </tableColumn>
    <tableColumn id="31" xr3:uid="{10DFD997-9E27-44A5-94BF-59D81E8257B6}" name="FY52/53" totalsRowFunction="custom" dataDxfId="758" totalsRowDxfId="757">
      <totalsRowFormula>AG17+AG18+AG19+AG20-AG15-AG16</totalsRowFormula>
    </tableColumn>
    <tableColumn id="32" xr3:uid="{9581AD64-C438-4719-94D8-85D0444F9464}" name="FY53/54" totalsRowFunction="custom" dataDxfId="756" totalsRowDxfId="755">
      <totalsRowFormula>AH17+AH18+AH19+AH20-AH15-AH16</totalsRowFormula>
    </tableColumn>
    <tableColumn id="33" xr3:uid="{DD403831-6C17-488F-9D14-0AC932E66445}" name="FY54/55" totalsRowFunction="custom" dataDxfId="754" totalsRowDxfId="753">
      <totalsRowFormula>AI17+AI18+AI19+AI20-AI15-AI16</totalsRowFormula>
    </tableColumn>
    <tableColumn id="34" xr3:uid="{4C8E758D-F9F4-4FE3-A497-B19B146B8287}" name="FY55/56" totalsRowFunction="custom" dataDxfId="752" totalsRowDxfId="751">
      <totalsRowFormula>AJ17+AJ18+AJ19+AJ20-AJ15-AJ16</totalsRowFormula>
    </tableColumn>
    <tableColumn id="35" xr3:uid="{B08AE45B-F71C-47C1-9FF8-A6FE95178689}" name="FY56/57" totalsRowFunction="custom" dataDxfId="750" totalsRowDxfId="749">
      <totalsRowFormula>AK17+AK18+AK19+AK20-AK15-AK16</totalsRowFormula>
    </tableColumn>
    <tableColumn id="36" xr3:uid="{4244CDA9-B2BF-4DE6-9F2E-0E9115705D87}" name="FY57/58" totalsRowFunction="custom" dataDxfId="748" totalsRowDxfId="747">
      <totalsRowFormula>AL17+AL18+AL19+AL20-AL15-AL16</totalsRowFormula>
    </tableColumn>
    <tableColumn id="37" xr3:uid="{5938E334-822B-4E56-8E7F-9C7E10C81732}" name="FY58/59" totalsRowFunction="custom" dataDxfId="746" totalsRowDxfId="745">
      <totalsRowFormula>AM17+AM18+AM19+AM20-AM15-AM16</totalsRowFormula>
    </tableColumn>
    <tableColumn id="38" xr3:uid="{535E078B-CBB7-4770-857D-A7F2A58CD745}" name="FY59/60" totalsRowFunction="custom" dataDxfId="744" totalsRowDxfId="743">
      <totalsRowFormula>AN17+AN18+AN19+AN20-AN15-AN16</totalsRowFormula>
    </tableColumn>
    <tableColumn id="40" xr3:uid="{D4C54392-4C93-496F-9135-33C2579180B5}" name="FY60/61" totalsRowFunction="custom" dataDxfId="742" totalsRowDxfId="741">
      <totalsRowFormula>AO17+AO18+AO19+AO20-AO15-AO16</totalsRowFormula>
    </tableColumn>
    <tableColumn id="41" xr3:uid="{57E3824D-C7B5-4B33-8475-EC79864B48D6}" name="FY61/62" totalsRowFunction="custom" dataDxfId="740" totalsRowDxfId="739">
      <totalsRowFormula>AP17+AP18+AP19+AP20-AP15-AP16</totalsRowFormula>
    </tableColumn>
    <tableColumn id="42" xr3:uid="{1992EE3D-F46D-4BA5-A69D-7E6944F9C699}" name="FY62/63" totalsRowFunction="custom" dataDxfId="738" totalsRowDxfId="737">
      <totalsRowFormula>AQ17+AQ18+AQ19+AQ20-AQ15-AQ16</totalsRowFormula>
    </tableColumn>
    <tableColumn id="43" xr3:uid="{EECC546B-FB4C-41EA-A7D2-843061BA02A0}" name="FY63/64" totalsRowFunction="custom" dataDxfId="736" totalsRowDxfId="735">
      <totalsRowFormula>AR17+AR18+AR19+AR20-AR15-AR16</totalsRowFormula>
    </tableColumn>
    <tableColumn id="44" xr3:uid="{9DBC50FA-215B-4297-ADD3-358DB83F672F}" name="FY64/65" totalsRowFunction="custom" dataDxfId="734" totalsRowDxfId="733">
      <totalsRowFormula>AS17+AS18+AS19+AS20-AS15-AS16</totalsRowFormula>
    </tableColumn>
    <tableColumn id="45" xr3:uid="{CD7B85B2-76CA-4485-951F-25433707E9B2}" name="FY65/66" totalsRowFunction="custom" dataDxfId="732" totalsRowDxfId="731">
      <totalsRowFormula>AT17+AT18+AT19+AT20-AT15-AT16</totalsRowFormula>
    </tableColumn>
    <tableColumn id="46" xr3:uid="{8A944113-1BFB-46F2-80B9-12FFEC6EC989}" name="FY66/67" totalsRowFunction="custom" dataDxfId="730" totalsRowDxfId="729">
      <totalsRowFormula>AU17+AU18+AU19+AU20-AU15-AU16</totalsRowFormula>
    </tableColumn>
    <tableColumn id="47" xr3:uid="{EBAA9D02-4B20-4FD7-8C0D-D18918D97D13}" name="FY67/68" totalsRowFunction="custom" dataDxfId="728" totalsRowDxfId="727">
      <totalsRowFormula>AV17+AV18+AV19+AV20-AV15-AV16</totalsRowFormula>
    </tableColumn>
    <tableColumn id="48" xr3:uid="{B324E1B6-495E-4FFA-894D-D9AE2D44D8C6}" name="FY68/69" totalsRowFunction="custom" dataDxfId="726" totalsRowDxfId="725">
      <totalsRowFormula>AW17+AW18+AW19+AW20-AW15-AW16</totalsRowFormula>
    </tableColumn>
    <tableColumn id="49" xr3:uid="{8B89A12E-11D2-4759-B905-D987E012DA27}" name="FY69/70" totalsRowFunction="custom" dataDxfId="724" totalsRowDxfId="723">
      <totalsRowFormula>AX17+AX18+AX19+AX20-AX15-AX16</totalsRowFormula>
    </tableColumn>
    <tableColumn id="50" xr3:uid="{2EF069BC-301D-4C65-ABF4-B4CE31BD1D00}" name="FY70/71" totalsRowFunction="custom" dataDxfId="722" totalsRowDxfId="721">
      <totalsRowFormula>AY17+AY18+AY19+AY20-AY15-AY16</totalsRowFormula>
    </tableColumn>
    <tableColumn id="51" xr3:uid="{B11A84F2-170E-4B90-88DB-569F6B44DAE8}" name="FY71/72" totalsRowFunction="custom" dataDxfId="720" totalsRowDxfId="719">
      <totalsRowFormula>AZ17+AZ18+AZ19+AZ20-AZ15-AZ16</totalsRowFormula>
    </tableColumn>
    <tableColumn id="52" xr3:uid="{D7FDBEAD-F468-4ED9-A8BC-0CB8E482FF68}" name="FY72/73" totalsRowFunction="custom" dataDxfId="718" totalsRowDxfId="717">
      <totalsRowFormula>BA17+BA18+BA19+BA20-BA15-BA16</totalsRowFormula>
    </tableColumn>
    <tableColumn id="53" xr3:uid="{B7F101FD-7084-45A0-BAEE-28CDF3420263}" name="FY73/74" totalsRowFunction="custom" dataDxfId="716" totalsRowDxfId="715">
      <totalsRowFormula>BB17+BB18+BB19+BB20-BB15-BB16</totalsRowFormula>
    </tableColumn>
    <tableColumn id="54" xr3:uid="{9930F905-A700-4A0F-8918-8897E9E075A2}" name="FY74/75" totalsRowFunction="custom" dataDxfId="714" totalsRowDxfId="713">
      <totalsRowFormula>BC17+BC18+BC19+BC20-BC15-BC16</totalsRowFormula>
    </tableColumn>
    <tableColumn id="55" xr3:uid="{59631BDE-7A33-4B73-A8E7-8C839749E505}" name="FY75/76" totalsRowFunction="custom" dataDxfId="712" totalsRowDxfId="711">
      <totalsRowFormula>BD17+BD18+BD19+BD20-BD15-BD16</totalsRowFormula>
    </tableColumn>
    <tableColumn id="56" xr3:uid="{9C1E2704-032D-4F67-BEC4-F00C8936411F}" name="FY76/77" totalsRowFunction="custom" dataDxfId="710" totalsRowDxfId="709">
      <totalsRowFormula>BE17+BE18+BE19+BE20-BE15-BE16</totalsRowFormula>
    </tableColumn>
    <tableColumn id="57" xr3:uid="{660CB465-375F-42CD-8A24-A269BC426324}" name="FY77/78" totalsRowFunction="custom" dataDxfId="708" totalsRowDxfId="707">
      <totalsRowFormula>BF17+BF18+BF19+BF20-BF15-BF16</totalsRowFormula>
    </tableColumn>
    <tableColumn id="58" xr3:uid="{A4121D80-1A1A-45A9-AE48-8ECA4CA7B689}" name="FY78/79" totalsRowFunction="custom" dataDxfId="706" totalsRowDxfId="705">
      <totalsRowFormula>BG17+BG18+BG19+BG20-BG15-BG16</totalsRowFormula>
    </tableColumn>
    <tableColumn id="59" xr3:uid="{EFB71FCA-DF14-4BCD-A713-14A28C274110}" name="FY79/80" totalsRowFunction="custom" dataDxfId="704" totalsRowDxfId="703">
      <totalsRowFormula>BH17+BH18+BH19+BH20-BH15-BH16</totalsRowFormula>
    </tableColumn>
  </tableColumns>
  <tableStyleInfo name="Calculations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DC0BC331-9AD8-4810-9970-93C4F3459B75}" name="ProjLEIP" displayName="ProjLEIP" ref="B26:BH29" totalsRowCount="1" headerRowDxfId="702" dataDxfId="701" tableBorderDxfId="700">
  <autoFilter ref="B26:BH28" xr:uid="{DC0BC331-9AD8-4810-9970-93C4F3459B75}"/>
  <tableColumns count="59">
    <tableColumn id="1" xr3:uid="{808E5849-3670-4DA1-A483-5B9102556483}" name="Item" totalsRowLabel="Total LEIP grant funding" dataDxfId="699" totalsRowDxfId="698"/>
    <tableColumn id="2" xr3:uid="{2E65CBB3-F0C9-48A2-A215-1E8D86F66C01}" name="Description" dataDxfId="697" totalsRowDxfId="696"/>
    <tableColumn id="3" xr3:uid="{9A93E2E2-77F2-40F4-A7A2-827D2D8A76C3}" name="Unit" totalsRowLabel="$" dataDxfId="695" totalsRowDxfId="694"/>
    <tableColumn id="39" xr3:uid="{1A2F155A-9B22-4972-9A31-F89CA0CC62B7}" name="FY24/25" totalsRowFunction="sum" dataDxfId="693" totalsRowDxfId="692"/>
    <tableColumn id="4" xr3:uid="{068E814F-4E53-4B0A-98A2-ADBF0F643771}" name="FY25/26" totalsRowFunction="sum" dataDxfId="691" totalsRowDxfId="690"/>
    <tableColumn id="5" xr3:uid="{4BD19C3B-2050-4FF6-973D-6365D8DA3F3C}" name="FY26/27" totalsRowFunction="sum" dataDxfId="689" totalsRowDxfId="688"/>
    <tableColumn id="6" xr3:uid="{156CEF21-A033-4B1E-850F-E454ED2003D7}" name="FY27/28" totalsRowFunction="sum" dataDxfId="687" totalsRowDxfId="686"/>
    <tableColumn id="7" xr3:uid="{1CA0A649-83AC-4394-A596-1EDFD2CCA089}" name="FY28/29" totalsRowFunction="sum" dataDxfId="685" totalsRowDxfId="684"/>
    <tableColumn id="8" xr3:uid="{A9861503-4678-41A7-B206-88F4B82B3DE7}" name="FY29/30" totalsRowFunction="sum" dataDxfId="683" totalsRowDxfId="682"/>
    <tableColumn id="9" xr3:uid="{784518B7-91B3-414B-AF02-E976A52DDD59}" name="FY30/31" totalsRowFunction="sum" dataDxfId="681" totalsRowDxfId="680"/>
    <tableColumn id="10" xr3:uid="{C09F349C-3003-40A7-A93C-FE88F666563F}" name="FY31/32" totalsRowFunction="sum" dataDxfId="679" totalsRowDxfId="678"/>
    <tableColumn id="11" xr3:uid="{6E240A78-64B2-4F58-9AD3-28D346E74B3F}" name="FY32/33" totalsRowFunction="sum" dataDxfId="677" totalsRowDxfId="676"/>
    <tableColumn id="12" xr3:uid="{33960A64-37C6-45A9-8E63-EFEFD892B9E8}" name="FY33/34" totalsRowFunction="sum" dataDxfId="675" totalsRowDxfId="674"/>
    <tableColumn id="13" xr3:uid="{02C767CB-0BAF-498E-9A02-4629F25D3DFC}" name="FY34/35" totalsRowFunction="sum" dataDxfId="673" totalsRowDxfId="672"/>
    <tableColumn id="14" xr3:uid="{8DCF4ECC-1D71-47E2-A677-926D178C1338}" name="FY35/36" totalsRowFunction="sum" dataDxfId="671" totalsRowDxfId="670"/>
    <tableColumn id="15" xr3:uid="{FE07307D-F8A9-47C4-B1A9-63DE14B81CDF}" name="FY36/37" totalsRowFunction="sum" dataDxfId="669" totalsRowDxfId="668"/>
    <tableColumn id="16" xr3:uid="{E321FACF-0E12-48EF-B731-355FAEDB9ECF}" name="FY37/38" totalsRowFunction="sum" dataDxfId="667" totalsRowDxfId="666"/>
    <tableColumn id="17" xr3:uid="{061D7AE6-7B01-460F-9297-66DB1CDF191B}" name="FY38/39" totalsRowFunction="sum" dataDxfId="665" totalsRowDxfId="664"/>
    <tableColumn id="18" xr3:uid="{F1DB5FBA-56FC-45D4-A617-FC2438DF7F04}" name="FY39/40" totalsRowFunction="sum" dataDxfId="663" totalsRowDxfId="662"/>
    <tableColumn id="19" xr3:uid="{7C70A64F-BC6E-4E1B-901D-27CEA284D22C}" name="FY40/41" totalsRowFunction="sum" dataDxfId="661" totalsRowDxfId="660"/>
    <tableColumn id="20" xr3:uid="{A3A04628-9DB3-487A-AB97-C0F563BE2F84}" name="FY41/42" totalsRowFunction="sum" dataDxfId="659" totalsRowDxfId="658"/>
    <tableColumn id="21" xr3:uid="{35FC8ED1-A09A-4C9C-9D7B-9C71CCD0A7C6}" name="FY42/43" totalsRowFunction="sum" dataDxfId="657" totalsRowDxfId="656"/>
    <tableColumn id="22" xr3:uid="{63CC42F7-CFAA-4A43-84BE-161810436605}" name="FY43/44" totalsRowFunction="sum" dataDxfId="655" totalsRowDxfId="654"/>
    <tableColumn id="23" xr3:uid="{3C81C86E-813F-49A4-8FC3-C100002ABF67}" name="FY44/45" totalsRowFunction="sum" dataDxfId="653" totalsRowDxfId="652"/>
    <tableColumn id="24" xr3:uid="{567FE27B-503B-402E-9C66-9707262AC5AE}" name="FY45/46" totalsRowFunction="sum" dataDxfId="651" totalsRowDxfId="650"/>
    <tableColumn id="25" xr3:uid="{B816236D-828B-4C36-A778-54DBCD16FEDE}" name="FY46/47" totalsRowFunction="sum" dataDxfId="649" totalsRowDxfId="648"/>
    <tableColumn id="26" xr3:uid="{21009CB4-9B18-4BF0-B87D-94A882C91E80}" name="FY47/48" totalsRowFunction="sum" dataDxfId="647" totalsRowDxfId="646"/>
    <tableColumn id="27" xr3:uid="{F21D2CF0-9C6C-43EB-81D9-CD0003897865}" name="FY48/49" totalsRowFunction="sum" dataDxfId="645" totalsRowDxfId="644"/>
    <tableColumn id="28" xr3:uid="{75B8E9B7-2C6E-4B00-84F3-DB1405E1F5C8}" name="FY49/50" totalsRowFunction="sum" dataDxfId="643" totalsRowDxfId="642"/>
    <tableColumn id="29" xr3:uid="{575916CC-68DC-453F-AE31-7203CFEE6E56}" name="FY50/51" totalsRowFunction="sum" dataDxfId="641" totalsRowDxfId="640"/>
    <tableColumn id="30" xr3:uid="{6AD2B9EC-0A8C-479E-AE5F-546A5142D8D6}" name="FY51/52" totalsRowFunction="sum" dataDxfId="639" totalsRowDxfId="638"/>
    <tableColumn id="31" xr3:uid="{89009BDC-15A2-431A-9539-C2977E3CF7B3}" name="FY52/53" totalsRowFunction="sum" dataDxfId="637" totalsRowDxfId="636"/>
    <tableColumn id="32" xr3:uid="{3952250A-D09F-4328-A6C6-9914B678BB88}" name="FY53/54" totalsRowFunction="sum" dataDxfId="635" totalsRowDxfId="634"/>
    <tableColumn id="33" xr3:uid="{03F25AA6-8CD5-4DF1-901E-559F05E1AE37}" name="FY54/55" totalsRowFunction="sum" dataDxfId="633" totalsRowDxfId="632"/>
    <tableColumn id="34" xr3:uid="{1EC0E550-B84C-43B5-AE21-ADBC4F3937DB}" name="FY55/56" totalsRowFunction="sum" dataDxfId="631" totalsRowDxfId="630"/>
    <tableColumn id="35" xr3:uid="{72608A53-A1D6-44D6-8E8B-5FA7020870A6}" name="FY56/57" totalsRowFunction="sum" dataDxfId="629" totalsRowDxfId="628"/>
    <tableColumn id="36" xr3:uid="{7DA7219D-93CC-490D-B71D-6D8C9173E3BD}" name="FY57/58" totalsRowFunction="sum" dataDxfId="627" totalsRowDxfId="626"/>
    <tableColumn id="37" xr3:uid="{C5CD3B95-AAD3-432F-BBEE-D48651C648EC}" name="FY58/59" totalsRowFunction="sum" dataDxfId="625" totalsRowDxfId="624"/>
    <tableColumn id="38" xr3:uid="{711EEC83-2489-404F-9F57-9D09572109E4}" name="FY59/60" totalsRowFunction="sum" dataDxfId="623" totalsRowDxfId="622"/>
    <tableColumn id="40" xr3:uid="{371BFBA6-35A2-49D0-BC26-6D732D0737DD}" name="FY60/61" totalsRowFunction="sum" dataDxfId="621" totalsRowDxfId="620"/>
    <tableColumn id="41" xr3:uid="{5130822D-C40F-4822-BCB7-FBD3FA8967EC}" name="FY61/62" totalsRowFunction="sum" dataDxfId="619" totalsRowDxfId="618"/>
    <tableColumn id="42" xr3:uid="{B901F498-C9C5-4084-973E-766FF0B929BA}" name="FY62/63" totalsRowFunction="sum" dataDxfId="617" totalsRowDxfId="616"/>
    <tableColumn id="43" xr3:uid="{EE241D4E-CD07-443B-A49B-A7B1924298FB}" name="FY63/64" totalsRowFunction="sum" dataDxfId="615" totalsRowDxfId="614"/>
    <tableColumn id="44" xr3:uid="{CE495802-35B8-49BA-8DE3-9DDBDA419FD7}" name="FY64/65" totalsRowFunction="sum" dataDxfId="613" totalsRowDxfId="612"/>
    <tableColumn id="45" xr3:uid="{0CF8E5BA-CB9A-41D0-9D2B-557DE8915196}" name="FY65/66" totalsRowFunction="sum" dataDxfId="611" totalsRowDxfId="610"/>
    <tableColumn id="46" xr3:uid="{17A55B00-C1EE-470D-880A-70A66DACEA3F}" name="FY66/67" totalsRowFunction="sum" dataDxfId="609" totalsRowDxfId="608"/>
    <tableColumn id="47" xr3:uid="{1257D097-4011-4582-B0FF-205F53472BCC}" name="FY67/68" totalsRowFunction="sum" dataDxfId="607" totalsRowDxfId="606"/>
    <tableColumn id="48" xr3:uid="{3EA04DB9-22EE-4A96-85B2-5788867795A4}" name="FY68/69" totalsRowFunction="sum" dataDxfId="605" totalsRowDxfId="604"/>
    <tableColumn id="49" xr3:uid="{6D9078F5-707D-41E9-89F3-492156828329}" name="FY69/70" totalsRowFunction="sum" dataDxfId="603" totalsRowDxfId="602"/>
    <tableColumn id="50" xr3:uid="{535AF36E-4131-484B-9B95-2A4E132B7025}" name="FY70/71" totalsRowFunction="sum" dataDxfId="601" totalsRowDxfId="600"/>
    <tableColumn id="51" xr3:uid="{066A0E4D-8347-4FC6-BC46-6A73CC5E8FC2}" name="FY71/72" totalsRowFunction="sum" dataDxfId="599" totalsRowDxfId="598"/>
    <tableColumn id="52" xr3:uid="{D7065DCE-4B70-4F4A-8886-B02F4108959F}" name="FY72/73" totalsRowFunction="sum" dataDxfId="597" totalsRowDxfId="596"/>
    <tableColumn id="53" xr3:uid="{D17E17FC-1AB2-48B6-A424-22FE4419DF86}" name="FY73/74" totalsRowFunction="sum" dataDxfId="595" totalsRowDxfId="594"/>
    <tableColumn id="54" xr3:uid="{1F62A1F6-1723-4D10-8745-CF18BAE0A9CF}" name="FY74/75" totalsRowFunction="sum" dataDxfId="593" totalsRowDxfId="592"/>
    <tableColumn id="55" xr3:uid="{AC9E527B-AB1E-4914-9F7E-C9C70AEC30BC}" name="FY75/76" totalsRowFunction="sum" dataDxfId="591" totalsRowDxfId="590"/>
    <tableColumn id="56" xr3:uid="{BEDE090F-20A7-468F-B86D-FFFBF794F7B2}" name="FY76/77" totalsRowFunction="sum" dataDxfId="589" totalsRowDxfId="588"/>
    <tableColumn id="57" xr3:uid="{B9EED141-808C-433E-9766-44903441A1E2}" name="FY77/78" totalsRowFunction="sum" dataDxfId="587" totalsRowDxfId="586"/>
    <tableColumn id="58" xr3:uid="{99C8514A-7F2B-4E7D-8619-4BAD60CBD03F}" name="FY78/79" totalsRowFunction="sum" dataDxfId="585" totalsRowDxfId="584"/>
    <tableColumn id="59" xr3:uid="{7466EEA5-A713-4BAD-A0E6-0A43560BA035}" name="FY79/80" totalsRowFunction="sum" dataDxfId="583" totalsRowDxfId="582"/>
  </tableColumns>
  <tableStyleInfo name="Project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709F762-A852-4704-B173-3F3BBE33DD9E}" name="ACCUBenefit" displayName="ACCUBenefit" ref="B36:BH38" headerRowDxfId="581" dataDxfId="580" tableBorderDxfId="579">
  <autoFilter ref="B36:BH38" xr:uid="{6709F762-A852-4704-B173-3F3BBE33DD9E}"/>
  <tableColumns count="59">
    <tableColumn id="1" xr3:uid="{358DFEDF-8D0B-48B7-AE99-0F27BEE989EC}" name="Item" totalsRowLabel="Total" dataDxfId="578" totalsRowDxfId="577"/>
    <tableColumn id="2" xr3:uid="{8A425C7C-EFE8-4873-960C-FA4F7EA8394F}" name="Description" dataDxfId="576" totalsRowDxfId="575"/>
    <tableColumn id="3" xr3:uid="{8716E37A-5604-4E59-BB40-6D87BB7F28D4}" name="Units" dataDxfId="574" totalsRowDxfId="573"/>
    <tableColumn id="39" xr3:uid="{F92A11B8-7B21-4463-B429-BA1F76B985B6}" name="FY24/25" dataDxfId="572" totalsRowDxfId="571"/>
    <tableColumn id="4" xr3:uid="{6E0511B4-BAF9-446C-98BD-28DB005841E1}" name="FY25/26" dataDxfId="570" totalsRowDxfId="569"/>
    <tableColumn id="5" xr3:uid="{6D44781A-C24B-4B0E-BC95-456456B31987}" name="FY26/27" dataDxfId="568" totalsRowDxfId="567"/>
    <tableColumn id="6" xr3:uid="{FABA1BEE-873E-4F76-A926-2FD72D2515D0}" name="FY27/28" dataDxfId="566" totalsRowDxfId="565"/>
    <tableColumn id="7" xr3:uid="{A33ECEA2-E997-44DE-B62D-D08C1D939959}" name="FY28/29" dataDxfId="564" totalsRowDxfId="563"/>
    <tableColumn id="8" xr3:uid="{1F6C7D3C-7AC4-434A-8603-960E93E66435}" name="FY29/30" dataDxfId="562" totalsRowDxfId="561"/>
    <tableColumn id="9" xr3:uid="{65BD2CDE-FB6A-4C68-8F77-081F024006C2}" name="FY30/31" dataDxfId="560" totalsRowDxfId="559"/>
    <tableColumn id="10" xr3:uid="{E108D028-2873-4BA8-936E-0E5CF8F299DE}" name="FY31/32" dataDxfId="558" totalsRowDxfId="557"/>
    <tableColumn id="11" xr3:uid="{98860BA3-7783-4F33-94DA-74B9306E460F}" name="FY32/33" dataDxfId="556" totalsRowDxfId="555"/>
    <tableColumn id="12" xr3:uid="{D8C2CB01-F22B-4A0B-BF2F-BED1F54541D8}" name="FY33/34" dataDxfId="554" totalsRowDxfId="553"/>
    <tableColumn id="13" xr3:uid="{3C62B769-F1FA-484A-A49E-C626609918BC}" name="FY34/35" dataDxfId="552" totalsRowDxfId="551"/>
    <tableColumn id="14" xr3:uid="{016DDFDF-A454-473B-BC63-F4F7A04CADC5}" name="FY35/36" dataDxfId="550" totalsRowDxfId="549"/>
    <tableColumn id="15" xr3:uid="{20812EDA-88B8-4673-B155-5316699B89C9}" name="FY36/37" dataDxfId="548" totalsRowDxfId="547"/>
    <tableColumn id="16" xr3:uid="{DA28FE4D-948E-4C0A-8FBD-5ABBFCB6F395}" name="FY37/38" dataDxfId="546" totalsRowDxfId="545"/>
    <tableColumn id="17" xr3:uid="{E6896C67-DFAD-4BC5-8B7B-B00560E04849}" name="FY38/39" dataDxfId="544" totalsRowDxfId="543"/>
    <tableColumn id="18" xr3:uid="{EF0BF279-FB19-4AFF-9864-45615AC35F15}" name="FY39/40" dataDxfId="542" totalsRowDxfId="541"/>
    <tableColumn id="19" xr3:uid="{27379F0F-0902-403D-B2BD-D1194B5B5FC1}" name="FY40/41" dataDxfId="540" totalsRowDxfId="539"/>
    <tableColumn id="20" xr3:uid="{C03B0BFF-8089-46C2-AFF6-D42AC4C9D287}" name="FY41/42" dataDxfId="538" totalsRowDxfId="537"/>
    <tableColumn id="21" xr3:uid="{AEF3FBEB-3B7E-4B27-BD8A-C118D0485EBF}" name="FY42/43" dataDxfId="536" totalsRowDxfId="535"/>
    <tableColumn id="22" xr3:uid="{2BDB7CD3-9BD1-478C-BB1C-4D9B07D8A237}" name="FY43/44" dataDxfId="534" totalsRowDxfId="533"/>
    <tableColumn id="23" xr3:uid="{287C4FBD-A4BD-43B1-BAC6-F58487E7CFD1}" name="FY44/45" dataDxfId="532" totalsRowDxfId="531"/>
    <tableColumn id="24" xr3:uid="{66E9CEE6-3138-4F0A-8D8C-ADBBEB42878F}" name="FY45/46" dataDxfId="530" totalsRowDxfId="529"/>
    <tableColumn id="25" xr3:uid="{BC69ED7F-99CB-4C9A-8897-36CA41B9C4CA}" name="FY46/47" dataDxfId="528" totalsRowDxfId="527"/>
    <tableColumn id="26" xr3:uid="{19B527AB-E55B-4F96-9EEA-FCDE422AA1B6}" name="FY47/48" dataDxfId="526" totalsRowDxfId="525"/>
    <tableColumn id="27" xr3:uid="{AA488047-C91A-4A16-8ADA-0AA94D3BA253}" name="FY48/49" dataDxfId="524" totalsRowDxfId="523"/>
    <tableColumn id="28" xr3:uid="{490DE749-8111-483C-A4F5-E3830A9AAD5D}" name="FY49/50" dataDxfId="522" totalsRowDxfId="521"/>
    <tableColumn id="29" xr3:uid="{BD0F51D1-D7B3-4B86-A6B9-CDEBB4BD8264}" name="FY50/51" dataDxfId="520" totalsRowDxfId="519"/>
    <tableColumn id="30" xr3:uid="{91724484-1854-41CB-9C59-F6C1E106A59F}" name="FY51/52" dataDxfId="518" totalsRowDxfId="517"/>
    <tableColumn id="31" xr3:uid="{B716A33A-ACE3-4CE9-84B0-C97E142EFA96}" name="FY52/53" dataDxfId="516" totalsRowDxfId="515"/>
    <tableColumn id="32" xr3:uid="{F71BF494-688C-4C20-950C-9E0057B24E2C}" name="FY53/54" dataDxfId="514" totalsRowDxfId="513"/>
    <tableColumn id="33" xr3:uid="{04462C72-D8AE-4D34-A474-E583FDEB7570}" name="FY54/55" dataDxfId="512" totalsRowDxfId="511"/>
    <tableColumn id="34" xr3:uid="{1CF2123C-BE19-4EFE-A523-626FEA797C61}" name="FY55/56" dataDxfId="510" totalsRowDxfId="509"/>
    <tableColumn id="35" xr3:uid="{A1F46BB7-110A-431E-9A48-10FA56293A7C}" name="FY56/57" dataDxfId="508" totalsRowDxfId="507"/>
    <tableColumn id="36" xr3:uid="{6238E6B4-9635-4ACA-838B-933DCE92D044}" name="FY57/58" dataDxfId="506" totalsRowDxfId="505"/>
    <tableColumn id="37" xr3:uid="{A4267035-BC96-41F7-80A1-975E825C4025}" name="FY58/59" dataDxfId="504" totalsRowDxfId="503"/>
    <tableColumn id="38" xr3:uid="{186AB292-F758-4DB4-95A6-FBE7DDD8F24A}" name="FY59/60" totalsRowFunction="count" dataDxfId="502" totalsRowDxfId="501"/>
    <tableColumn id="40" xr3:uid="{F26F0FB8-D627-4767-947A-F05F200A97C5}" name="FY60/61" dataDxfId="500" totalsRowDxfId="499"/>
    <tableColumn id="41" xr3:uid="{E5B4FC32-E834-423B-966E-564EC5D26A69}" name="FY61/62" dataDxfId="498" totalsRowDxfId="497"/>
    <tableColumn id="42" xr3:uid="{96AEAFB7-FEDB-4D95-8A3F-9AFAF805270E}" name="FY62/63" dataDxfId="496" totalsRowDxfId="495"/>
    <tableColumn id="43" xr3:uid="{8A3D448C-302C-4A4E-B337-936752D78C8B}" name="FY63/64" dataDxfId="494" totalsRowDxfId="493"/>
    <tableColumn id="44" xr3:uid="{C9DB140E-6970-4284-A9CC-1EB564B2542A}" name="FY64/65" dataDxfId="492" totalsRowDxfId="491"/>
    <tableColumn id="45" xr3:uid="{76A694A4-E7F2-4D86-A48F-C651E8078CCB}" name="FY65/66" dataDxfId="490" totalsRowDxfId="489"/>
    <tableColumn id="46" xr3:uid="{8CBB15BC-C48A-45EE-BB42-A54732BAAA35}" name="FY66/67" dataDxfId="488" totalsRowDxfId="487"/>
    <tableColumn id="47" xr3:uid="{FF76885E-913B-4B62-8E8D-BAE4E93925D8}" name="FY67/68" dataDxfId="486" totalsRowDxfId="485"/>
    <tableColumn id="48" xr3:uid="{A5A4C0A9-237B-4E4A-A665-6BBB5389DEFC}" name="FY68/69" dataDxfId="484" totalsRowDxfId="483"/>
    <tableColumn id="49" xr3:uid="{5C936AE7-1208-4F6F-B7E9-D15E8FAD9A9F}" name="FY69/70" dataDxfId="482" totalsRowDxfId="481"/>
    <tableColumn id="50" xr3:uid="{9AE9DB75-E9C1-4015-B76C-C7701B943B33}" name="FY70/71" dataDxfId="480" totalsRowDxfId="479"/>
    <tableColumn id="51" xr3:uid="{97C8261C-324A-4896-B188-78BB410734F0}" name="FY71/72" dataDxfId="478" totalsRowDxfId="477"/>
    <tableColumn id="52" xr3:uid="{2AA0B212-B916-4497-AF2C-369F1F318EAD}" name="FY72/73" dataDxfId="476" totalsRowDxfId="475"/>
    <tableColumn id="53" xr3:uid="{73E01E8F-8BC0-4BFE-A68A-2E0C530FF09C}" name="FY73/74" dataDxfId="474" totalsRowDxfId="473"/>
    <tableColumn id="54" xr3:uid="{E241E209-61B5-4896-822A-3E6A4ECD58EB}" name="FY74/75" dataDxfId="472" totalsRowDxfId="471"/>
    <tableColumn id="55" xr3:uid="{3471A274-E235-41B5-B68A-DDD24FA992EC}" name="FY75/76" dataDxfId="470" totalsRowDxfId="469"/>
    <tableColumn id="56" xr3:uid="{C07EB2BB-0C1B-4D2C-8D30-FB35F05BF2CC}" name="FY76/77" dataDxfId="468" totalsRowDxfId="467"/>
    <tableColumn id="57" xr3:uid="{CE8ACCE0-253B-48F0-B41C-0D530004CC70}" name="FY77/78" dataDxfId="466" totalsRowDxfId="465"/>
    <tableColumn id="58" xr3:uid="{CC88613E-FE68-4FC5-9B8C-421B6C863552}" name="FY78/79" dataDxfId="464" totalsRowDxfId="463"/>
    <tableColumn id="59" xr3:uid="{463ECCD0-CE83-41D5-B1D6-1BCF1CE8D67D}" name="FY79/80" dataDxfId="462" totalsRowDxfId="461"/>
  </tableColumns>
  <tableStyleInfo name="Calculations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F67D014-DE9D-41B3-9DC2-113DA30F2E69}" name="ACCUPrice" displayName="ACCUPrice" ref="B42:BH43" totalsRowShown="0" headerRowDxfId="460" dataDxfId="459" tableBorderDxfId="458">
  <autoFilter ref="B42:BH43" xr:uid="{6F67D014-DE9D-41B3-9DC2-113DA30F2E69}"/>
  <tableColumns count="59">
    <tableColumn id="1" xr3:uid="{F0F6705F-9831-4442-9F4D-B8ADADCB95B9}" name="Item" dataDxfId="457"/>
    <tableColumn id="2" xr3:uid="{D4C81B7F-5A01-418D-B13A-A63D9BB8259F}" name="Source" dataDxfId="456"/>
    <tableColumn id="3" xr3:uid="{0E30E5B2-7DFD-49D8-81E1-7507D1DFBA5E}" name="Unit" dataDxfId="455"/>
    <tableColumn id="60" xr3:uid="{7744AFA4-ABBF-4CD9-9E15-5E623928A652}" name="2024" dataDxfId="454"/>
    <tableColumn id="29" xr3:uid="{2C77D61F-A37E-4EA6-9F0C-97E6433EE570}" name="2025" dataDxfId="453"/>
    <tableColumn id="4" xr3:uid="{C8AED8CF-B452-4E4F-82B4-7FD517D58F3A}" name="2026" dataDxfId="452"/>
    <tableColumn id="5" xr3:uid="{DB370ADA-4D42-40E7-8831-48DC26EBF297}" name="2027" dataDxfId="451"/>
    <tableColumn id="6" xr3:uid="{A9AB23B3-ED16-4E21-AE0C-863A951AD08E}" name="2028" dataDxfId="450"/>
    <tableColumn id="7" xr3:uid="{BA80D405-87A7-4C55-938B-8055DD391E52}" name="2029" dataDxfId="449"/>
    <tableColumn id="8" xr3:uid="{A487CA7C-79FB-4899-AFAA-3FA362E3C0A1}" name="2030" dataDxfId="448"/>
    <tableColumn id="9" xr3:uid="{39019F50-C9D1-4E05-A89A-7B6F1522CF07}" name="2031" dataDxfId="447"/>
    <tableColumn id="10" xr3:uid="{D8546B49-9084-4564-8F01-FA87745C959A}" name="2032" dataDxfId="446"/>
    <tableColumn id="11" xr3:uid="{1FD069AB-BBE7-46EA-8FAA-6321E938DA25}" name="2033" dataDxfId="445"/>
    <tableColumn id="12" xr3:uid="{764FC51C-C562-4758-B836-D8E036D59F23}" name="2034" dataDxfId="444"/>
    <tableColumn id="13" xr3:uid="{C8D9C3A5-7C26-4C1C-AED1-E83F3B6A2147}" name="2035" dataDxfId="443"/>
    <tableColumn id="14" xr3:uid="{626DE768-0A4D-4383-8554-4F40D612AB4A}" name="2036" dataDxfId="442"/>
    <tableColumn id="15" xr3:uid="{C2A9F25A-A55C-4367-A611-B82CE9F7C665}" name="2037" dataDxfId="441"/>
    <tableColumn id="16" xr3:uid="{0A38CBD7-44B8-430E-A19E-F4A913C0A740}" name="2038" dataDxfId="440"/>
    <tableColumn id="17" xr3:uid="{987C45B9-88FA-485F-BE1B-162116FCF5F4}" name="2039" dataDxfId="439"/>
    <tableColumn id="18" xr3:uid="{76F1BD0C-0D59-4B0F-8B0B-DEDF4772C92B}" name="2040" dataDxfId="438"/>
    <tableColumn id="19" xr3:uid="{621338F6-8C2F-4657-B8EF-901B0DE05E08}" name="2041" dataDxfId="437"/>
    <tableColumn id="20" xr3:uid="{3B7E7A93-34B5-4144-9E02-0086B43D3710}" name="2042" dataDxfId="436"/>
    <tableColumn id="21" xr3:uid="{BD7DA2C5-68EB-4E05-89BF-18509BEEB672}" name="2043" dataDxfId="435"/>
    <tableColumn id="22" xr3:uid="{003012C6-8338-46BA-A1F9-FE1BCD7E8C3D}" name="2044" dataDxfId="434"/>
    <tableColumn id="23" xr3:uid="{E4A1FDEA-A957-4AB8-BEE4-1569A64C04C3}" name="2045" dataDxfId="433"/>
    <tableColumn id="24" xr3:uid="{EF7C9520-0298-4639-9851-5C11944A0033}" name="2046" dataDxfId="432"/>
    <tableColumn id="25" xr3:uid="{8302C9CE-5AE7-4FB6-8BD9-37474616CA63}" name="2047" dataDxfId="431"/>
    <tableColumn id="26" xr3:uid="{9F8E645F-4163-4BA7-ABD3-D63C85D5C068}" name="2048" dataDxfId="430"/>
    <tableColumn id="27" xr3:uid="{C39DEEE8-90BA-4C23-A515-7A8466E9D364}" name="2049" dataDxfId="429"/>
    <tableColumn id="28" xr3:uid="{FC0950BA-1FBF-440A-9BE9-FAA64AB04E04}" name="2050" dataDxfId="428"/>
    <tableColumn id="30" xr3:uid="{E9EB487C-220C-4622-8E58-A172FE86A1FB}" name="2051" dataDxfId="427"/>
    <tableColumn id="31" xr3:uid="{7281AFDB-DD6D-4EDF-A1FC-21A39DF52819}" name="2052" dataDxfId="426"/>
    <tableColumn id="32" xr3:uid="{2C9C5F1E-8B4B-4261-8B31-809555114692}" name="2053" dataDxfId="425"/>
    <tableColumn id="33" xr3:uid="{E61A24CC-B094-4FC1-93CD-AB36208CC863}" name="2054" dataDxfId="424"/>
    <tableColumn id="34" xr3:uid="{38A29C0F-89D8-4B95-9E52-E3A397223EC2}" name="2055" dataDxfId="423"/>
    <tableColumn id="35" xr3:uid="{26EA48E1-D9B1-483C-BB0D-063B0D8BBD3E}" name="2056" dataDxfId="422"/>
    <tableColumn id="36" xr3:uid="{347E9D33-1CB8-4A44-BEC8-F3444C6F6B9C}" name="2057" dataDxfId="421"/>
    <tableColumn id="37" xr3:uid="{6C1FAB60-D980-4528-BA74-F7BFED6E7DF0}" name="2058" dataDxfId="420"/>
    <tableColumn id="38" xr3:uid="{D8D37942-FCC5-4276-84DB-4953B94E8340}" name="2059" dataDxfId="419"/>
    <tableColumn id="39" xr3:uid="{58BE51A1-2A49-4796-967D-A6D74A7A0B13}" name="2060" dataDxfId="418"/>
    <tableColumn id="40" xr3:uid="{27AE6878-DA28-4CF0-876E-2DFE5F607852}" name="2061" dataDxfId="417"/>
    <tableColumn id="41" xr3:uid="{0B52D236-36CC-485F-BA4F-613CE71E1836}" name="2062" dataDxfId="416"/>
    <tableColumn id="42" xr3:uid="{1F597373-7F90-40A0-9EED-66E2581BD29A}" name="2063" dataDxfId="415"/>
    <tableColumn id="43" xr3:uid="{85891B62-857C-4999-9E8B-04EDDF02B1BC}" name="2064" dataDxfId="414"/>
    <tableColumn id="44" xr3:uid="{E3EB7F15-0797-4D19-BEF4-E1ADA52D2B0F}" name="2065" dataDxfId="413"/>
    <tableColumn id="45" xr3:uid="{22A9D606-5888-4E17-9C9D-D99FE9CF1EAE}" name="2066" dataDxfId="412"/>
    <tableColumn id="46" xr3:uid="{4291DF7A-6719-44FA-B075-1A2095A02084}" name="2067" dataDxfId="411"/>
    <tableColumn id="47" xr3:uid="{91C3F3A2-3F77-4333-A74F-27A6E36321D5}" name="2068" dataDxfId="410"/>
    <tableColumn id="48" xr3:uid="{E1CDF70C-1545-4A22-82D3-0D39815C4470}" name="2069" dataDxfId="409"/>
    <tableColumn id="49" xr3:uid="{DE0FAFCA-0176-4430-82D0-B95EF3D521D6}" name="2070" dataDxfId="408"/>
    <tableColumn id="50" xr3:uid="{F0887B66-8450-45BA-9F41-4C78D570D09A}" name="2071" dataDxfId="407"/>
    <tableColumn id="51" xr3:uid="{88EF1555-01F7-4418-A08A-F0734BC9E3FC}" name="2072" dataDxfId="406"/>
    <tableColumn id="52" xr3:uid="{50CE5D14-1F16-4368-9D39-6CD6DA55DF5D}" name="2073" dataDxfId="405"/>
    <tableColumn id="53" xr3:uid="{9333DE10-1F19-494C-AF54-3B8CB4E2C3BE}" name="2074" dataDxfId="404"/>
    <tableColumn id="54" xr3:uid="{9E44D483-37F3-4A6F-809B-DBA3EA5AA67F}" name="2075" dataDxfId="403"/>
    <tableColumn id="55" xr3:uid="{DC655FB8-BB5A-4E01-8358-905A795A1CD8}" name="2076" dataDxfId="402"/>
    <tableColumn id="56" xr3:uid="{7B6D5C24-E726-4527-969C-CED8B8370B62}" name="2077" dataDxfId="401"/>
    <tableColumn id="57" xr3:uid="{7E432AE3-944C-4B51-9FEE-BA02F3AC6581}" name="2078" dataDxfId="400"/>
    <tableColumn id="58" xr3:uid="{3BEE530F-92CF-4D19-B098-378D69E4D644}" name="2079" dataDxfId="399"/>
  </tableColumns>
  <tableStyleInfo name="Calculations 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DB8F458-00E7-45A1-B2E5-5016C0C65A86}" name="CreditBenefit" displayName="CreditBenefit" ref="B47:BH51" totalsRowShown="0" headerRowDxfId="398" dataDxfId="397">
  <autoFilter ref="B47:BH51" xr:uid="{0DB8F458-00E7-45A1-B2E5-5016C0C65A86}"/>
  <tableColumns count="59">
    <tableColumn id="1" xr3:uid="{79D4FC73-B730-4A57-8857-9CD8CC8F257F}" name="Item" dataDxfId="396"/>
    <tableColumn id="2" xr3:uid="{526A5B12-6121-41BF-8E65-E041DD6E335E}" name="Description" dataDxfId="395"/>
    <tableColumn id="3" xr3:uid="{D6BE0516-F16F-4EE8-8F44-456F317DD68E}" name="Units" dataDxfId="394"/>
    <tableColumn id="4" xr3:uid="{B30EDDB8-8530-4534-8FA2-D04FD9C17AEE}" name="FY24/25" dataDxfId="393"/>
    <tableColumn id="5" xr3:uid="{5407C6DE-B392-4F70-A732-CCD685777183}" name="FY25/26" dataDxfId="392"/>
    <tableColumn id="6" xr3:uid="{9D94677C-C265-4F36-989B-C53DE42659E1}" name="FY26/27" dataDxfId="391"/>
    <tableColumn id="7" xr3:uid="{0DEB02F4-12A8-4CD7-83ED-2D143FAE66B4}" name="FY27/28" dataDxfId="390"/>
    <tableColumn id="8" xr3:uid="{5430A6EA-6DCB-472B-906F-7B7E8BDD4B8F}" name="FY28/29" dataDxfId="389"/>
    <tableColumn id="9" xr3:uid="{D858EA58-5B0F-42AF-92EE-64C494A9E2CB}" name="FY29/30" dataDxfId="388"/>
    <tableColumn id="10" xr3:uid="{A5A3B167-3108-4675-B710-3F96AAF16694}" name="FY30/31" dataDxfId="387"/>
    <tableColumn id="11" xr3:uid="{51F56B06-6303-4D43-BF71-A55AC2E16FE9}" name="FY31/32" dataDxfId="386"/>
    <tableColumn id="12" xr3:uid="{250091ED-149A-42A3-97FA-AF347E84EFDA}" name="FY32/33" dataDxfId="385"/>
    <tableColumn id="13" xr3:uid="{2B385352-BB64-44F1-A4AD-3029A994E5F2}" name="FY33/34" dataDxfId="384"/>
    <tableColumn id="14" xr3:uid="{1947B6CA-6110-4984-A1AA-DBB77A02C598}" name="FY34/35" dataDxfId="383"/>
    <tableColumn id="15" xr3:uid="{2F425227-4E7B-414F-963D-C373EF045E7A}" name="FY35/36" dataDxfId="382"/>
    <tableColumn id="16" xr3:uid="{6627A63A-6EFE-4767-9B09-9B0192D3E999}" name="FY36/37" dataDxfId="381"/>
    <tableColumn id="17" xr3:uid="{B29B943E-D868-4E85-95FE-7977B7BF74EE}" name="FY37/38" dataDxfId="380"/>
    <tableColumn id="18" xr3:uid="{544D08FB-35E4-431B-B812-61ABABC0C483}" name="FY38/39" dataDxfId="379"/>
    <tableColumn id="19" xr3:uid="{D4F749E4-E0EF-46F6-ABE2-52A2302B0D86}" name="FY39/40" dataDxfId="378"/>
    <tableColumn id="20" xr3:uid="{53327C5F-14A8-41CF-8044-3780464A1226}" name="FY40/41" dataDxfId="377"/>
    <tableColumn id="21" xr3:uid="{B16D4858-6099-44B0-8B8D-E9B0BE0CF49E}" name="FY41/42" dataDxfId="376"/>
    <tableColumn id="22" xr3:uid="{26FA28F7-7DD0-470D-AE76-18BF2514274A}" name="FY42/43" dataDxfId="375"/>
    <tableColumn id="23" xr3:uid="{8E7618A9-F8E7-438E-A25F-2F5D85C49CDF}" name="FY43/44" dataDxfId="374"/>
    <tableColumn id="24" xr3:uid="{643C7CAB-169E-4EC4-8C01-D80172E410FB}" name="FY44/45" dataDxfId="373"/>
    <tableColumn id="25" xr3:uid="{B31BE8B2-574F-4867-9D87-3C195FCF9800}" name="FY45/46" dataDxfId="372"/>
    <tableColumn id="26" xr3:uid="{15CBE6F6-7857-45EB-87B6-D30BEDFBC468}" name="FY46/47" dataDxfId="371"/>
    <tableColumn id="27" xr3:uid="{812E977F-6279-41FC-91DD-4525FF44C424}" name="FY47/48" dataDxfId="370"/>
    <tableColumn id="28" xr3:uid="{BF875D8D-8DFB-4EC6-BE61-6205E8B602BF}" name="FY48/49" dataDxfId="369"/>
    <tableColumn id="29" xr3:uid="{DDAE634B-FAF9-4795-A44E-70EF42519E1D}" name="FY49/50" dataDxfId="368"/>
    <tableColumn id="30" xr3:uid="{2ABAE3A6-A8E7-4D86-BEAF-570663386F93}" name="FY50/51" dataDxfId="367"/>
    <tableColumn id="31" xr3:uid="{F0F5B651-561A-48C8-AEE3-55A3377A17F8}" name="FY51/52" dataDxfId="366"/>
    <tableColumn id="32" xr3:uid="{8AE23FF2-E202-4636-B1F2-047DBCA95897}" name="FY52/53" dataDxfId="365"/>
    <tableColumn id="33" xr3:uid="{756AFF41-AA13-4AD0-B0CA-653C2A435C9C}" name="FY53/54" dataDxfId="364"/>
    <tableColumn id="34" xr3:uid="{30516C47-595E-456E-A202-FC00DC5FD334}" name="FY54/55" dataDxfId="363"/>
    <tableColumn id="35" xr3:uid="{8987F5E2-523C-4B31-AE5B-84F05543E174}" name="FY55/56" dataDxfId="362"/>
    <tableColumn id="36" xr3:uid="{F94140C2-8424-4038-84DC-AC6673779552}" name="FY56/57" dataDxfId="361"/>
    <tableColumn id="37" xr3:uid="{90FEF394-99F2-4078-9ED1-55C44C7C7425}" name="FY57/58" dataDxfId="360"/>
    <tableColumn id="38" xr3:uid="{E43F1476-3A2A-488A-B28F-34369A309EB2}" name="FY58/59" dataDxfId="359"/>
    <tableColumn id="39" xr3:uid="{7FE56C43-8D69-4711-B62A-4A8128F5FE8E}" name="FY59/60" dataDxfId="358"/>
    <tableColumn id="40" xr3:uid="{53113B18-1885-4A19-ABD2-67C38FF0F9EF}" name="FY60/61" dataDxfId="357"/>
    <tableColumn id="41" xr3:uid="{804A21B5-025C-45E8-9F88-5169E50D5CFB}" name="FY61/62" dataDxfId="356"/>
    <tableColumn id="42" xr3:uid="{664B1BDE-05B7-426B-8266-8831589B37E2}" name="FY62/63" dataDxfId="355"/>
    <tableColumn id="43" xr3:uid="{ABCECA4C-7AB7-496B-A99A-6385F928DBA7}" name="FY63/64" dataDxfId="354"/>
    <tableColumn id="44" xr3:uid="{95343A05-C063-4519-B650-2A757108E288}" name="FY64/65" dataDxfId="353"/>
    <tableColumn id="45" xr3:uid="{F3FA05EC-7689-4202-AFA2-1B070322460E}" name="FY65/66" dataDxfId="352"/>
    <tableColumn id="46" xr3:uid="{DBDB45FD-4EC6-44E0-AD76-F68F484BCAE2}" name="FY66/67" dataDxfId="351"/>
    <tableColumn id="47" xr3:uid="{7DD12D67-6376-4043-B4EE-825FC79DAB49}" name="FY67/68" dataDxfId="350"/>
    <tableColumn id="48" xr3:uid="{5F1A4047-6CD2-4B46-B393-6578434E7E1D}" name="FY68/69" dataDxfId="349"/>
    <tableColumn id="49" xr3:uid="{67DEE014-52D8-41FC-AB5F-0AA870068F53}" name="FY69/70" dataDxfId="348"/>
    <tableColumn id="50" xr3:uid="{006EED16-8842-49FC-93E8-3195AC57AA1E}" name="FY70/71" dataDxfId="347"/>
    <tableColumn id="51" xr3:uid="{0E6D822A-177E-4A11-8A05-5CAFF12E4D26}" name="FY71/72" dataDxfId="346"/>
    <tableColumn id="52" xr3:uid="{CEA75556-6520-445C-A204-7853CC68CCDB}" name="FY72/73" dataDxfId="345"/>
    <tableColumn id="53" xr3:uid="{3C7F5E34-D266-4BF9-BC5F-848179AE1FD6}" name="FY73/74" dataDxfId="344"/>
    <tableColumn id="54" xr3:uid="{A6085CCF-27BA-490A-94E5-EBC52CCAC6FA}" name="FY74/75" dataDxfId="343"/>
    <tableColumn id="55" xr3:uid="{432F29C8-2E9C-433F-A9C4-9FE39136EEF0}" name="FY75/76" dataDxfId="342"/>
    <tableColumn id="56" xr3:uid="{2F017AA2-A2F6-4087-8B4A-661F42FE6655}" name="FY76/77" dataDxfId="341"/>
    <tableColumn id="57" xr3:uid="{20B608DD-89D2-471C-AD2B-D759E0C75712}" name="FY77/78" dataDxfId="340"/>
    <tableColumn id="58" xr3:uid="{3FD46A44-938F-4AB5-8445-05064E109A1F}" name="FY78/79" dataDxfId="339"/>
    <tableColumn id="59" xr3:uid="{7024E916-EEEF-4C9F-8C02-F502C273B62A}" name="FY79/80" dataDxfId="338"/>
  </tableColumns>
  <tableStyleInfo name="Calculations Tab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0F78088-7B70-4BBD-8EBF-545DD00350F3}" name="CreditPrice" displayName="CreditPrice" ref="B55:BH58" totalsRowShown="0" headerRowDxfId="337" dataDxfId="336">
  <autoFilter ref="B55:BH58" xr:uid="{D0F78088-7B70-4BBD-8EBF-545DD00350F3}"/>
  <tableColumns count="59">
    <tableColumn id="1" xr3:uid="{B2886A64-2692-4B5B-A8D3-8B37671B5276}" name="Item" dataDxfId="335"/>
    <tableColumn id="2" xr3:uid="{C875897A-AF5C-4E09-937F-B7EFD71F131D}" name="Source" dataDxfId="334"/>
    <tableColumn id="3" xr3:uid="{7A0443C8-9579-4004-A2DB-B869F28C7F98}" name="Unit" dataDxfId="333"/>
    <tableColumn id="4" xr3:uid="{5576920E-06DD-41B8-8EBD-39E30B752C34}" name="2024" dataDxfId="332"/>
    <tableColumn id="5" xr3:uid="{B0D5934D-2FA2-465D-B610-811893795AD0}" name="2025" dataDxfId="331"/>
    <tableColumn id="6" xr3:uid="{B522FB7A-BEB7-4094-B408-89F567E166EC}" name="2026" dataDxfId="330"/>
    <tableColumn id="7" xr3:uid="{51021683-B383-480F-9A66-42155C321302}" name="2027" dataDxfId="329"/>
    <tableColumn id="8" xr3:uid="{CF6D8C77-E927-44EE-9F93-8D416295FB3C}" name="2028" dataDxfId="328"/>
    <tableColumn id="9" xr3:uid="{B643AA02-A7AA-4EF9-958E-0D8D2CA2CDE3}" name="2029" dataDxfId="327"/>
    <tableColumn id="10" xr3:uid="{D9683062-6501-466A-BD21-3625EC1A04C1}" name="2030" dataDxfId="326"/>
    <tableColumn id="11" xr3:uid="{D6165441-8B99-4600-90A0-055A0C8977DA}" name="2031" dataDxfId="325"/>
    <tableColumn id="12" xr3:uid="{B71F58BF-0B3D-4479-97E4-5CA73FE2994D}" name="2032" dataDxfId="324"/>
    <tableColumn id="13" xr3:uid="{F2C7A141-DDA8-4FC3-8B57-3AF1005F8FC9}" name="2033" dataDxfId="323"/>
    <tableColumn id="14" xr3:uid="{294172CF-D062-4985-B668-1BD9F07E76C2}" name="2034" dataDxfId="322"/>
    <tableColumn id="15" xr3:uid="{15004167-D935-4B4A-AC8B-F12865F97F03}" name="2035" dataDxfId="321"/>
    <tableColumn id="16" xr3:uid="{F19ACE28-39EE-4C67-A9B6-A196FFF7FD10}" name="2036" dataDxfId="320"/>
    <tableColumn id="17" xr3:uid="{1E68C21F-CE4B-4277-962B-88125AB3CE90}" name="2037" dataDxfId="319"/>
    <tableColumn id="18" xr3:uid="{708380E7-8E2C-4595-A412-6137379A4A74}" name="2038" dataDxfId="318"/>
    <tableColumn id="19" xr3:uid="{673FCE42-DE1B-4900-95AB-B53B7A226CE4}" name="2039" dataDxfId="317"/>
    <tableColumn id="20" xr3:uid="{4228C33F-C7B5-4350-BDBF-E043846E3A61}" name="2040" dataDxfId="316"/>
    <tableColumn id="21" xr3:uid="{BAABCFED-A331-4FF4-98F8-933E87D5E923}" name="2041" dataDxfId="315"/>
    <tableColumn id="22" xr3:uid="{C8558D0F-E90F-47D2-B8F9-EAD230741C33}" name="2042" dataDxfId="314"/>
    <tableColumn id="23" xr3:uid="{36DB3627-FB71-47C1-8754-E98C9AEBFF7C}" name="2043" dataDxfId="313"/>
    <tableColumn id="24" xr3:uid="{CA26E52D-2F8D-4D55-A477-1708FA73E8F1}" name="2044" dataDxfId="312"/>
    <tableColumn id="25" xr3:uid="{557008B4-1134-4F3F-954B-1AA7ECC9EE9F}" name="2045" dataDxfId="311"/>
    <tableColumn id="26" xr3:uid="{7321E492-9145-46D0-9231-7DB1B96B8345}" name="2046" dataDxfId="310"/>
    <tableColumn id="27" xr3:uid="{A62810EB-CFB9-482C-A25B-5A1533E8AF80}" name="2047" dataDxfId="309"/>
    <tableColumn id="28" xr3:uid="{34253890-2530-4F65-ABD6-3F23AB2D2742}" name="2048" dataDxfId="308"/>
    <tableColumn id="29" xr3:uid="{1BFA17D3-9546-4784-9D1E-4F8F6190C4EE}" name="2049" dataDxfId="307"/>
    <tableColumn id="30" xr3:uid="{61C12A9C-3ACE-4DAA-B6ED-8967FE0B3679}" name="2050" dataDxfId="306"/>
    <tableColumn id="31" xr3:uid="{666DEBAB-8C79-4F8F-8936-8C35222E66D6}" name="2051" dataDxfId="305"/>
    <tableColumn id="32" xr3:uid="{F197284F-BFA3-4EA8-ACC9-D0F29B71A0C1}" name="2052" dataDxfId="304"/>
    <tableColumn id="33" xr3:uid="{0312CCE1-063D-4792-A792-6CA1D97EFFA2}" name="2053" dataDxfId="303"/>
    <tableColumn id="34" xr3:uid="{28FC0C31-5D44-43BE-8915-3E9DB827B07B}" name="2054" dataDxfId="302"/>
    <tableColumn id="35" xr3:uid="{563B1FB1-50F0-49B7-8AED-38A75AA633C2}" name="2055" dataDxfId="301"/>
    <tableColumn id="36" xr3:uid="{DF608681-BDF4-49CF-AD9B-BE4AA9ED878C}" name="2056" dataDxfId="300"/>
    <tableColumn id="37" xr3:uid="{22908C85-247B-4E62-A3B6-71A886692B6A}" name="2057" dataDxfId="299"/>
    <tableColumn id="38" xr3:uid="{AFC36420-E216-4178-8D0E-6955A7C7D9FE}" name="2058" dataDxfId="298"/>
    <tableColumn id="39" xr3:uid="{8BB5E8B2-0998-44E4-B47F-D155B719E6CC}" name="2059" dataDxfId="297"/>
    <tableColumn id="40" xr3:uid="{36FE31F4-8CBC-4B22-9AC6-7907E746E415}" name="2060" dataDxfId="296"/>
    <tableColumn id="41" xr3:uid="{317EBC22-ACD3-4400-BCB4-5A61F44CCB0A}" name="2061" dataDxfId="295"/>
    <tableColumn id="42" xr3:uid="{F0ECABE4-114B-440D-A78D-E5E24B5BFCCF}" name="2062" dataDxfId="294"/>
    <tableColumn id="43" xr3:uid="{670292ED-B2D7-4A3D-BA76-B448D3E56C4B}" name="2063" dataDxfId="293"/>
    <tableColumn id="44" xr3:uid="{E1852798-AC45-4F41-87FF-E3DCD1E11756}" name="2064" dataDxfId="292"/>
    <tableColumn id="45" xr3:uid="{12F91A05-2A66-4B27-AF69-BB3BDF60BE64}" name="2065" dataDxfId="291"/>
    <tableColumn id="46" xr3:uid="{8A4BAD81-ED50-4DE4-BEB7-579C9AA10F28}" name="2066" dataDxfId="290"/>
    <tableColumn id="47" xr3:uid="{8F7E1518-2C38-44CC-8259-A5964B0A83D7}" name="2067" dataDxfId="289"/>
    <tableColumn id="48" xr3:uid="{C57198E2-A898-4CBA-8FCC-BD82FFFEAD48}" name="2068" dataDxfId="288"/>
    <tableColumn id="49" xr3:uid="{095C711C-9FD6-4CC1-B740-39150E1E1BD7}" name="2069" dataDxfId="287"/>
    <tableColumn id="50" xr3:uid="{3429D7E1-B8A2-4F3C-B924-F1956F19C44B}" name="2070" dataDxfId="286"/>
    <tableColumn id="51" xr3:uid="{7A4C9C06-95A0-4741-882C-5BF277C83C0C}" name="2071" dataDxfId="285"/>
    <tableColumn id="52" xr3:uid="{A50A1A33-E2C1-4BE4-8B54-F2A7555C3BA0}" name="2072" dataDxfId="284"/>
    <tableColumn id="53" xr3:uid="{317C1D26-4236-44B5-AFF6-A93D286F9165}" name="2073" dataDxfId="283"/>
    <tableColumn id="54" xr3:uid="{C2BA81A3-5DA3-48B4-B169-2A7DF5AF7BB2}" name="2074" dataDxfId="282"/>
    <tableColumn id="55" xr3:uid="{F56D947C-6112-4DB9-B0C1-AE524F321B71}" name="2075" dataDxfId="281"/>
    <tableColumn id="56" xr3:uid="{3B8E9944-F6C5-4F76-90D8-6C1EC92BF15E}" name="2076" dataDxfId="280"/>
    <tableColumn id="57" xr3:uid="{C26C933A-1FE2-4639-8426-FE659B0805D9}" name="2077" dataDxfId="279"/>
    <tableColumn id="58" xr3:uid="{00FCF665-E75A-4E5B-8C0D-2D9D90CE817C}" name="2078" dataDxfId="278"/>
    <tableColumn id="59" xr3:uid="{91AFC07C-8994-404C-82A6-45AA8E4C2930}" name="2079" dataDxfId="277"/>
  </tableColumns>
  <tableStyleInfo name="Calculations Tab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386FDC4-4AC8-4D44-83ED-504A3B8F5B1B}" name="CBAData" displayName="CBAData" ref="B9:BG25" totalsRowShown="0" headerRowDxfId="276" dataDxfId="275" tableBorderDxfId="274">
  <autoFilter ref="B9:BG25" xr:uid="{3386FDC4-4AC8-4D44-83ED-504A3B8F5B1B}"/>
  <tableColumns count="58">
    <tableColumn id="1" xr3:uid="{5C448195-3893-4575-B81E-C667A72E57D8}" name="Item" dataDxfId="273"/>
    <tableColumn id="2" xr3:uid="{B0E76A75-82C7-4A86-B8CF-90C889A0A342}" name="Unit" dataDxfId="272"/>
    <tableColumn id="38" xr3:uid="{205BA702-5729-4C41-BD62-F80CBC7F7485}" name="FY24/25" dataDxfId="271"/>
    <tableColumn id="3" xr3:uid="{B168AF9F-DB50-4732-9652-F6454B1406C2}" name="FY25/26" dataDxfId="270"/>
    <tableColumn id="4" xr3:uid="{65F74AB1-878B-42ED-AB2E-06009D886700}" name="FY26/27" dataDxfId="269"/>
    <tableColumn id="5" xr3:uid="{CD855B1E-95D3-4999-9A22-A07AD295F94E}" name="FY27/28" dataDxfId="268"/>
    <tableColumn id="6" xr3:uid="{FD02D19A-4314-42E3-A171-C697F13F6AEE}" name="FY28/29" dataDxfId="267"/>
    <tableColumn id="7" xr3:uid="{352DFEBC-352F-4792-AF2C-F461F27E95D1}" name="FY29/30" dataDxfId="266"/>
    <tableColumn id="8" xr3:uid="{D1204385-E1E5-4559-9EF8-C8BCCAB9AFD9}" name="FY30/31" dataDxfId="265"/>
    <tableColumn id="9" xr3:uid="{5CE629F1-BB3A-40EA-BB41-F109CC7A1A4D}" name="FY31/32" dataDxfId="264"/>
    <tableColumn id="10" xr3:uid="{B052F6B1-C8DE-4510-ACCD-B4338638D324}" name="FY32/33" dataDxfId="263"/>
    <tableColumn id="11" xr3:uid="{138D51C4-455F-4796-99B0-CAB812FE1AB9}" name="FY33/34" dataDxfId="262"/>
    <tableColumn id="12" xr3:uid="{CCA9D933-88BC-4F83-8F7F-70D4C22A8362}" name="FY34/35" dataDxfId="261"/>
    <tableColumn id="13" xr3:uid="{7EA5A7B1-FA08-4D66-8590-98F49EE365D1}" name="FY35/36" dataDxfId="260"/>
    <tableColumn id="14" xr3:uid="{66E5D765-3DF1-482A-A72E-D4CFD966B4A8}" name="FY36/37" dataDxfId="259"/>
    <tableColumn id="15" xr3:uid="{6AE2EF22-9E3A-4801-B3AD-C462C942FA30}" name="FY37/38" dataDxfId="258"/>
    <tableColumn id="16" xr3:uid="{64897D5F-0664-40C8-9ED2-7A41EB715EE8}" name="FY38/39" dataDxfId="257"/>
    <tableColumn id="17" xr3:uid="{42BE6DF5-10CD-446D-87A4-B0FDDAB4E102}" name="FY39/40" dataDxfId="256"/>
    <tableColumn id="18" xr3:uid="{C00497F1-DF0E-4D6D-A3EE-77A096DD888C}" name="FY40/41" dataDxfId="255"/>
    <tableColumn id="19" xr3:uid="{0FACDA0C-FD28-4942-B0A7-5320C3A9D19B}" name="FY41/42" dataDxfId="254"/>
    <tableColumn id="20" xr3:uid="{795421C3-CCD8-40A4-9991-6CC335158D27}" name="FY42/43" dataDxfId="253"/>
    <tableColumn id="21" xr3:uid="{AD8A56D6-0D22-4D64-8131-2AEFAF7B9CE8}" name="FY43/44" dataDxfId="252"/>
    <tableColumn id="22" xr3:uid="{915709F1-CD5E-4931-AF20-9AEF3224A75E}" name="FY44/45" dataDxfId="251"/>
    <tableColumn id="23" xr3:uid="{794C5B87-C481-4B9A-AA61-039E6D8822C6}" name="FY45/46" dataDxfId="250"/>
    <tableColumn id="24" xr3:uid="{A2869188-CE0C-4BA1-92E8-C50335665620}" name="FY46/47" dataDxfId="249"/>
    <tableColumn id="25" xr3:uid="{E12959F8-F444-4107-9425-4D8E2632218E}" name="FY47/48" dataDxfId="248"/>
    <tableColumn id="26" xr3:uid="{147B1B54-4342-4086-A1C7-68DFCA774629}" name="FY48/49" dataDxfId="247"/>
    <tableColumn id="27" xr3:uid="{2E4B775D-D25D-4B69-BACB-DAB075473A33}" name="FY49/50" dataDxfId="246"/>
    <tableColumn id="28" xr3:uid="{63F14025-649F-4E98-BF88-F6BD50B652B7}" name="FY50/51" dataDxfId="245"/>
    <tableColumn id="29" xr3:uid="{762674B5-C592-4AD7-89A9-E4B51822FF69}" name="FY51/52" dataDxfId="244"/>
    <tableColumn id="30" xr3:uid="{7FF59E13-4A80-4775-809C-460CECA2E231}" name="FY52/53" dataDxfId="243"/>
    <tableColumn id="31" xr3:uid="{249602E4-13A2-4AAB-B683-C4E7A027B26F}" name="FY53/54" dataDxfId="242"/>
    <tableColumn id="32" xr3:uid="{1C3931CE-B132-4D8B-827B-D44B2BBE40FB}" name="FY54/55" dataDxfId="241"/>
    <tableColumn id="33" xr3:uid="{B0EAE6E6-FE94-4E98-8EB6-F310A753A036}" name="FY55/56" dataDxfId="240"/>
    <tableColumn id="34" xr3:uid="{08AAEF7E-B467-470D-B525-FF8416D45B8A}" name="FY56/57" dataDxfId="239"/>
    <tableColumn id="35" xr3:uid="{76DBBFEF-79EC-4F22-BA84-F942EA250978}" name="FY57/58" dataDxfId="238"/>
    <tableColumn id="36" xr3:uid="{2427B113-40B0-4E43-9AEB-326C8AB0C10A}" name="FY58/59" dataDxfId="237"/>
    <tableColumn id="37" xr3:uid="{90078231-EAFF-489B-BF7D-FE0C4C85F0F2}" name="FY59/60" dataDxfId="236"/>
    <tableColumn id="39" xr3:uid="{A792E916-079A-485E-8B4B-2FE15C938A32}" name="FY60/61" dataDxfId="235"/>
    <tableColumn id="40" xr3:uid="{8EBAAE43-35D9-4892-BAC4-F10C7D2791B3}" name="FY61/62" dataDxfId="234"/>
    <tableColumn id="41" xr3:uid="{61DF0E13-F5D3-4BB7-AD52-F2F49692F0CE}" name="FY62/63" dataDxfId="233"/>
    <tableColumn id="42" xr3:uid="{1C52475B-26D6-4AD7-9100-69ADE980DF4B}" name="FY63/64" dataDxfId="232"/>
    <tableColumn id="43" xr3:uid="{16FF3D0C-BE54-4164-85E4-27A2445068D4}" name="FY64/65" dataDxfId="231"/>
    <tableColumn id="44" xr3:uid="{AFF3DAA8-E8CB-4105-9851-B073E0BB8652}" name="FY65/66" dataDxfId="230"/>
    <tableColumn id="45" xr3:uid="{DF6FD45C-3579-4379-BB70-C66948102B75}" name="FY66/67" dataDxfId="229"/>
    <tableColumn id="46" xr3:uid="{EB19D9A0-BD63-444D-81EE-D55C24EB0BCA}" name="FY67/68" dataDxfId="228"/>
    <tableColumn id="47" xr3:uid="{67C200A9-3B26-4086-95A9-A4CCF64EB2E8}" name="FY68/69" dataDxfId="227"/>
    <tableColumn id="48" xr3:uid="{29BE7EB9-99C8-4C3C-A2B2-92004D2B3BF3}" name="FY69/70" dataDxfId="226"/>
    <tableColumn id="49" xr3:uid="{3A8A98FB-8EC6-4365-9A2D-23E76A6880C1}" name="FY70/71" dataDxfId="225"/>
    <tableColumn id="50" xr3:uid="{6695630A-ED55-41AB-A35E-66A36B98A112}" name="FY71/72" dataDxfId="224"/>
    <tableColumn id="51" xr3:uid="{E63E2992-1724-4B32-9F33-8D18E24EE7DB}" name="FY72/73" dataDxfId="223"/>
    <tableColumn id="52" xr3:uid="{7B0297D1-D880-48AF-86F4-6B4B035A6577}" name="FY73/74" dataDxfId="222"/>
    <tableColumn id="53" xr3:uid="{92A2F5CB-216A-4629-B078-9B0A5D1F45DC}" name="FY74/75" dataDxfId="221"/>
    <tableColumn id="54" xr3:uid="{9AA7C829-D817-490A-9936-34D4C5AA0A7B}" name="FY75/76" dataDxfId="220"/>
    <tableColumn id="55" xr3:uid="{21A6BD19-8BC9-45FB-9B2E-AD4E1F506237}" name="FY76/77" dataDxfId="219"/>
    <tableColumn id="56" xr3:uid="{7945FF00-9492-4E8E-A91A-081474CC2DE2}" name="FY77/78" dataDxfId="218"/>
    <tableColumn id="57" xr3:uid="{922FF7A4-8A6E-4422-B174-797BB25F6DA2}" name="FY78/79" dataDxfId="217"/>
    <tableColumn id="58" xr3:uid="{DD99E657-BE74-4FA8-8763-AFADD81CB7C3}" name="FY79/80" dataDxfId="216"/>
  </tableColumns>
  <tableStyleInfo name="Calculations Tab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ACD8B8A-FAB1-4842-9FF9-2EB0D2F578B6}" name="CBACal" displayName="CBACal" ref="B28:D57" totalsRowShown="0" headerRowDxfId="215" tableBorderDxfId="214">
  <autoFilter ref="B28:D57" xr:uid="{9ACD8B8A-FAB1-4842-9FF9-2EB0D2F578B6}"/>
  <tableColumns count="3">
    <tableColumn id="1" xr3:uid="{8345B5CC-C2BE-42DF-80C4-112A9A110B64}" name="Item" dataDxfId="213"/>
    <tableColumn id="2" xr3:uid="{4D50DC01-1A38-4E46-A41F-BB7BF1B0DFC5}" name="Units" dataDxfId="212"/>
    <tableColumn id="3" xr3:uid="{843D7939-6037-4BED-A5CE-B5342A5181CE}" name="Value" dataDxfId="211"/>
  </tableColumns>
  <tableStyleInfo name="Calculations Tab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3A40FCC-572E-4DB4-AB70-FBEB322ECC24}" name="Outcome" displayName="Outcome" ref="B8:G25" totalsRowShown="0" headerRowDxfId="210" dataDxfId="209" tableBorderDxfId="208">
  <autoFilter ref="B8:G25" xr:uid="{C3A40FCC-572E-4DB4-AB70-FBEB322ECC24}"/>
  <tableColumns count="6">
    <tableColumn id="1" xr3:uid="{91C1FDEF-9A89-4BBB-9775-600858C70DF4}" name="Item" dataDxfId="207"/>
    <tableColumn id="2" xr3:uid="{F84B7CBD-D854-4B57-9E7E-038F7929AFD3}" name="Relevant criteria" dataDxfId="206"/>
    <tableColumn id="3" xr3:uid="{EFD218CD-3611-4EE8-95A4-9F38DBD1239B}" name="Criteria description" dataDxfId="205"/>
    <tableColumn id="4" xr3:uid="{3DB53CCD-3AD6-48A7-B25F-6922F74566B9}" name="Units" dataDxfId="204"/>
    <tableColumn id="5" xr3:uid="{6D0595C5-2776-44C6-9CA4-F3B7294ED7A8}" name="Values" dataDxfId="203"/>
    <tableColumn id="6" xr3:uid="{3E03BD4C-83B7-429B-9A55-77EA2A6DD7C2}" name="Notes" dataDxfId="202"/>
  </tableColumns>
  <tableStyleInfo name="Calculations Tab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A806A6C-6C33-43E5-85EF-FCCD9258EF86}" name="DiscountRate" displayName="DiscountRate" ref="B7:E8" totalsRowShown="0" headerRowDxfId="201" dataDxfId="200" tableBorderDxfId="199">
  <autoFilter ref="B7:E8" xr:uid="{6A806A6C-6C33-43E5-85EF-FCCD9258EF86}"/>
  <tableColumns count="4">
    <tableColumn id="1" xr3:uid="{0E60A389-50DE-4D95-8EE1-9B58921A0EB1}" name="Item" dataDxfId="198"/>
    <tableColumn id="2" xr3:uid="{BAC6FD42-1A95-45B4-80A7-E1816A800298}" name="Source" dataDxfId="197"/>
    <tableColumn id="3" xr3:uid="{B01DB9C8-AFFC-4BF3-98C3-3FF06A045908}" name="Unit" dataDxfId="196"/>
    <tableColumn id="4" xr3:uid="{8CCB8267-D632-4ED8-AEAD-3A91B285591A}" name="Value" dataDxfId="195"/>
  </tableColumns>
  <tableStyleInfo name="Calculations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0D1FB3B-62FE-4A64-9835-90B4C36E9B05}" name="BaseCons" displayName="BaseCons" ref="B15:BI20" totalsRowShown="0" headerRowDxfId="1457" dataDxfId="1456" tableBorderDxfId="1455">
  <autoFilter ref="B15:BI20" xr:uid="{30D1FB3B-62FE-4A64-9835-90B4C36E9B05}"/>
  <tableColumns count="60">
    <tableColumn id="1" xr3:uid="{25BFC1AA-1A51-4B41-9925-E8A9662F62AC}" name="Item" dataDxfId="1454"/>
    <tableColumn id="2" xr3:uid="{108D65A0-973A-4715-9B47-8F15ADC3F5DF}" name="Description" dataDxfId="1453"/>
    <tableColumn id="3" xr3:uid="{A013CD31-7352-4F5D-8328-BFB9267516C2}" name="Units" dataDxfId="1452"/>
    <tableColumn id="4" xr3:uid="{FEDA9D06-FCDC-4805-AAAA-942C69883FF4}" name="Source" dataDxfId="1451"/>
    <tableColumn id="40" xr3:uid="{2F3C5BE8-6361-4D84-B5CE-BF5212D6E841}" name="FY24/25" dataDxfId="1450"/>
    <tableColumn id="5" xr3:uid="{2C0189CF-3B3E-4725-8CD2-76EAFF53E473}" name="FY25/26" dataDxfId="1449"/>
    <tableColumn id="6" xr3:uid="{28E3660A-7A0F-4799-B4CB-E8BE53ECCE2F}" name="FY26/27" dataDxfId="1448"/>
    <tableColumn id="7" xr3:uid="{BC72C574-D45B-487B-8ABB-F7084FD07D7D}" name="FY27/28" dataDxfId="1447"/>
    <tableColumn id="8" xr3:uid="{69E4B217-2EC6-4488-A969-568727028833}" name="FY28/29" dataDxfId="1446"/>
    <tableColumn id="9" xr3:uid="{54F9D1CC-E433-4528-9556-6C567159D72C}" name="FY29/30" dataDxfId="1445"/>
    <tableColumn id="10" xr3:uid="{D8257C56-8775-47B2-A2FD-749BBFFC0D86}" name="FY30/31" dataDxfId="1444"/>
    <tableColumn id="11" xr3:uid="{34135219-1188-4E60-ACF3-FDECBC8442B5}" name="FY31/32" dataDxfId="1443"/>
    <tableColumn id="12" xr3:uid="{D2F58334-FCA1-4FF4-B80C-C08F046296F3}" name="FY32/33" dataDxfId="1442"/>
    <tableColumn id="13" xr3:uid="{48E290FE-A7D5-4D35-8BD6-6109A2C8FF85}" name="FY33/34" dataDxfId="1441"/>
    <tableColumn id="14" xr3:uid="{E4740D1E-A5F8-403A-9E9E-6F1BE198738F}" name="FY34/35" dataDxfId="1440"/>
    <tableColumn id="15" xr3:uid="{C3A09D36-6CEC-43DF-8126-89DB4FAAE017}" name="FY35/36" dataDxfId="1439"/>
    <tableColumn id="16" xr3:uid="{389A9F82-1371-4BD9-9F68-0301DC83C815}" name="FY36/37" dataDxfId="1438"/>
    <tableColumn id="17" xr3:uid="{D08F2B0C-1AFC-475C-A910-18932707E332}" name="FY37/38" dataDxfId="1437"/>
    <tableColumn id="18" xr3:uid="{6AE53273-5C78-4A23-B458-98BD4DD339AE}" name="FY38/39" dataDxfId="1436"/>
    <tableColumn id="19" xr3:uid="{70EABFBE-374C-4B2F-BAC2-FDC1FDC13D37}" name="FY39/40" dataDxfId="1435"/>
    <tableColumn id="20" xr3:uid="{C229E30A-6B1E-4867-927C-69E38A84AAAA}" name="FY40/41" dataDxfId="1434"/>
    <tableColumn id="21" xr3:uid="{E05AB7E2-42FA-4A48-88F6-9422065A6062}" name="FY41/42" dataDxfId="1433"/>
    <tableColumn id="22" xr3:uid="{06DB8CF8-18AC-41F1-9C7E-AEAA575E0005}" name="FY42/43" dataDxfId="1432"/>
    <tableColumn id="23" xr3:uid="{7FB644C2-2AEA-4F21-9AC0-98676EC31E05}" name="FY43/44" dataDxfId="1431"/>
    <tableColumn id="24" xr3:uid="{046F147F-3FDE-49D8-96AE-6576B50FC170}" name="FY44/45" dataDxfId="1430"/>
    <tableColumn id="25" xr3:uid="{EEF36C96-1509-410F-A7D1-C75D0CB94C3A}" name="FY45/46" dataDxfId="1429"/>
    <tableColumn id="26" xr3:uid="{B5B939E2-CA39-40C0-9CB6-7C1B82DF0191}" name="FY46/47" dataDxfId="1428"/>
    <tableColumn id="27" xr3:uid="{12B3AF4B-245F-4069-BC8F-EA87A1DDF40C}" name="FY47/48" dataDxfId="1427"/>
    <tableColumn id="28" xr3:uid="{F0020E22-C33D-4A6C-B920-9A48FB9B6113}" name="FY48/49" dataDxfId="1426"/>
    <tableColumn id="29" xr3:uid="{BC8978EC-8F3A-41ED-AB6C-A0CC6122DF09}" name="FY49/50" dataDxfId="1425"/>
    <tableColumn id="30" xr3:uid="{BF9D0FB8-E733-4D60-BA7C-88ECCB60CE21}" name="FY50/51" dataDxfId="1424"/>
    <tableColumn id="31" xr3:uid="{2D20EA4A-D4D6-4D11-8F3A-8EB12D94F2A8}" name="FY51/52" dataDxfId="1423"/>
    <tableColumn id="32" xr3:uid="{CC752A53-5206-4D07-8F78-E926C6E63C28}" name="FY52/53" dataDxfId="1422"/>
    <tableColumn id="33" xr3:uid="{1905381B-E68B-4561-8A9F-DA7414B7F38D}" name="FY53/54" dataDxfId="1421"/>
    <tableColumn id="34" xr3:uid="{48C332EF-A0B8-448C-9467-769DD35718F8}" name="FY54/55" dataDxfId="1420"/>
    <tableColumn id="35" xr3:uid="{9145AADA-0F42-4B08-B189-D6D1F165D1AB}" name="FY55/56" dataDxfId="1419"/>
    <tableColumn id="36" xr3:uid="{D2200ACE-16DE-426E-A2B6-F7EF542216CC}" name="FY56/57" dataDxfId="1418"/>
    <tableColumn id="37" xr3:uid="{A8E8FE91-7D19-445E-B840-9B7D24A15A55}" name="FY57/58" dataDxfId="1417"/>
    <tableColumn id="38" xr3:uid="{80A2BE31-6F2D-499F-B3DE-065585631846}" name="FY58/59" dataDxfId="1416"/>
    <tableColumn id="39" xr3:uid="{698BB06E-809A-42C0-88EC-1011558B84D6}" name="FY59/60" dataDxfId="1415"/>
    <tableColumn id="41" xr3:uid="{32C41D3A-2F09-4F1C-9A70-2C9CDCE91387}" name="FY60/61" dataDxfId="1414"/>
    <tableColumn id="42" xr3:uid="{DF1CE0F0-3B92-48CF-AEB7-EFC985C3855D}" name="FY61/62" dataDxfId="1413"/>
    <tableColumn id="43" xr3:uid="{36176C11-DD61-4339-8522-AF1F838873B7}" name="FY62/63" dataDxfId="1412"/>
    <tableColumn id="44" xr3:uid="{DC51DC90-0FDA-474E-85F8-36072E1B0ECA}" name="FY63/64" dataDxfId="1411"/>
    <tableColumn id="45" xr3:uid="{6C0ED87E-8577-43F7-85A9-E19A324F46C6}" name="FY64/65" dataDxfId="1410"/>
    <tableColumn id="46" xr3:uid="{1718EB11-5C7A-49AF-9121-0215B909FBD8}" name="FY65/66" dataDxfId="1409"/>
    <tableColumn id="47" xr3:uid="{471F8F4C-850C-40C2-A8FA-0BECBC5D0ECD}" name="FY66/67" dataDxfId="1408"/>
    <tableColumn id="48" xr3:uid="{E966CED7-5166-4D07-8156-5C5998B495BD}" name="FY67/68" dataDxfId="1407"/>
    <tableColumn id="49" xr3:uid="{62546BD2-701F-49F8-B280-6AA4606754A8}" name="FY68/69" dataDxfId="1406"/>
    <tableColumn id="50" xr3:uid="{7531648F-BCD7-4DD1-8E34-67D34F5182B1}" name="FY69/70" dataDxfId="1405"/>
    <tableColumn id="51" xr3:uid="{A87D5BFB-6989-4283-A6FD-2AF192DA4191}" name="FY70/71" dataDxfId="1404"/>
    <tableColumn id="52" xr3:uid="{B788B8A7-9BA1-44D2-ACDB-378BB89CD593}" name="FY71/72" dataDxfId="1403"/>
    <tableColumn id="53" xr3:uid="{3EE0684F-790B-4A11-9589-1CE9359E814B}" name="FY72/73" dataDxfId="1402"/>
    <tableColumn id="54" xr3:uid="{15C56F03-8E0A-4BE6-8CBD-B702CA212CD4}" name="FY73/74" dataDxfId="1401"/>
    <tableColumn id="55" xr3:uid="{8A5F319D-CE39-48DE-9F8C-C4399DD1A292}" name="FY74/75" dataDxfId="1400"/>
    <tableColumn id="56" xr3:uid="{F7481AFB-00E9-468F-A483-8E6DAA7F24C2}" name="FY75/76" dataDxfId="1399"/>
    <tableColumn id="57" xr3:uid="{8B210BE3-A00D-4530-86DB-FA12C3AFD34C}" name="FY76/77" dataDxfId="1398"/>
    <tableColumn id="58" xr3:uid="{1BC0C022-0370-43D6-81D8-91C1304051F2}" name="FY77/78" dataDxfId="1397"/>
    <tableColumn id="59" xr3:uid="{583CFAFF-CC6C-4997-A1DB-85EE2B725A53}" name="FY78/79" dataDxfId="1396"/>
    <tableColumn id="60" xr3:uid="{4F9583F5-E6D7-49A1-9D6C-340A21760DE7}" name="FY79/80" dataDxfId="1395"/>
  </tableColumns>
  <tableStyleInfo name="Baseline table"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3338F13-C216-4AE5-BE83-E9BAEEE2A1F9}" name="Grid" displayName="Grid" ref="B11:BH12" totalsRowShown="0" headerRowDxfId="194" dataDxfId="193" tableBorderDxfId="192">
  <autoFilter ref="B11:BH12" xr:uid="{93338F13-C216-4AE5-BE83-E9BAEEE2A1F9}"/>
  <tableColumns count="59">
    <tableColumn id="1" xr3:uid="{722AC948-F2DE-4C70-B4A9-91FDD0546E2D}" name="Description" dataDxfId="191"/>
    <tableColumn id="2" xr3:uid="{2C534E45-4D83-43A1-8511-70DBF601BA5A}" name="Source" dataDxfId="190"/>
    <tableColumn id="3" xr3:uid="{4A8E3615-EDF5-4F7B-B668-7FD6D25EC66B}" name="Unit" dataDxfId="189"/>
    <tableColumn id="60" xr3:uid="{78CEA7CA-152D-47BC-94B1-A3BB0CE912DA}" name="2024" dataDxfId="188"/>
    <tableColumn id="29" xr3:uid="{5C2B1510-FCFB-40CB-AC1E-A9A02CCA1EAC}" name="2025" dataDxfId="187"/>
    <tableColumn id="4" xr3:uid="{76BEC3BB-2AFA-49A4-95AF-88FE7C793E1B}" name="2026" dataDxfId="186"/>
    <tableColumn id="5" xr3:uid="{5ACB7C99-0A41-452F-940F-18433D41B48B}" name="2027" dataDxfId="185"/>
    <tableColumn id="6" xr3:uid="{41F99E75-5119-4E0A-800A-770C78312202}" name="2028" dataDxfId="184"/>
    <tableColumn id="7" xr3:uid="{C1D6C854-C3FF-48C1-825E-3F64D0E622F4}" name="2029" dataDxfId="183"/>
    <tableColumn id="8" xr3:uid="{C3508FC7-6748-451B-9E55-ACB351092AAE}" name="2030" dataDxfId="182"/>
    <tableColumn id="9" xr3:uid="{D34D706D-249C-41A4-9A1A-CCC49BA32B80}" name="2031" dataDxfId="181"/>
    <tableColumn id="10" xr3:uid="{F2D777CB-6FD2-4AE0-94C2-7A3AA3B21C2C}" name="2032" dataDxfId="180"/>
    <tableColumn id="11" xr3:uid="{E0AA9E9B-C55C-473F-9A2E-D72291AC32F8}" name="2033" dataDxfId="179"/>
    <tableColumn id="12" xr3:uid="{6FCC5D6D-DDD8-4E0F-AFD8-0B67E7485EE8}" name="2034" dataDxfId="178"/>
    <tableColumn id="13" xr3:uid="{C1FEB065-55BE-4C53-8D07-5FA728034E09}" name="2035" dataDxfId="177"/>
    <tableColumn id="14" xr3:uid="{5A571EB4-2FA3-4553-8E3E-33E2F7F3397B}" name="2036" dataDxfId="176"/>
    <tableColumn id="15" xr3:uid="{C85F2B9C-F6AD-44E6-B9E6-3A9A16DE6E6C}" name="2037" dataDxfId="175"/>
    <tableColumn id="16" xr3:uid="{C142C9B3-C451-4E88-A3D9-2D9F3E75BAC3}" name="2038" dataDxfId="174"/>
    <tableColumn id="17" xr3:uid="{2CA88055-99A5-4395-A942-23BAB754E3C8}" name="2039" dataDxfId="173"/>
    <tableColumn id="18" xr3:uid="{FD879C0E-8723-41D0-865E-9991ADC739FF}" name="2040" dataDxfId="172"/>
    <tableColumn id="19" xr3:uid="{BEFF6E9C-2DDE-4821-B6C4-4AC0AC0BBE7E}" name="2041" dataDxfId="171"/>
    <tableColumn id="20" xr3:uid="{331A9EBA-17E8-4548-85CB-9698798BFFC6}" name="2042" dataDxfId="170"/>
    <tableColumn id="21" xr3:uid="{4B3B4CC6-B63B-41FE-98E0-33D8AAC390DA}" name="2043" dataDxfId="169"/>
    <tableColumn id="22" xr3:uid="{A73CBA17-E5D3-4671-A647-232CCA4098CC}" name="2044" dataDxfId="168"/>
    <tableColumn id="23" xr3:uid="{E7A33BD1-9DC1-4D6D-A8B6-E2FA94262742}" name="2045" dataDxfId="167"/>
    <tableColumn id="24" xr3:uid="{7F6709B4-6D4F-495D-82ED-CADE2AF840B7}" name="2046" dataDxfId="166"/>
    <tableColumn id="25" xr3:uid="{23855063-A39F-43E6-956C-3CE34F82E77D}" name="2047" dataDxfId="165"/>
    <tableColumn id="26" xr3:uid="{01C16B91-75A0-4D60-A153-B42821B357B6}" name="2048" dataDxfId="164"/>
    <tableColumn id="27" xr3:uid="{1B70FA96-7578-455E-8119-253EB934DA96}" name="2049" dataDxfId="163"/>
    <tableColumn id="28" xr3:uid="{11F24003-6932-4699-9758-2E1D07D58844}" name="2050" dataDxfId="162"/>
    <tableColumn id="30" xr3:uid="{6C1DA8D8-4826-4CEB-BE0D-2A4C641CDF30}" name="2051" dataDxfId="161"/>
    <tableColumn id="31" xr3:uid="{CCBAE4E0-C128-4768-8394-77DAA569BC78}" name="2052" dataDxfId="160"/>
    <tableColumn id="32" xr3:uid="{882233A7-17AB-4E4A-AFC1-67D1818E42E9}" name="2053" dataDxfId="159"/>
    <tableColumn id="33" xr3:uid="{1D4FD2AD-6C94-4402-B931-BB981EF8B683}" name="2054" dataDxfId="158"/>
    <tableColumn id="34" xr3:uid="{5EEA0908-9CA4-4348-B480-D029DFCAEF03}" name="2055" dataDxfId="157"/>
    <tableColumn id="35" xr3:uid="{BD22B60B-59A7-4ACB-897B-A968FADD98CC}" name="2056" dataDxfId="156"/>
    <tableColumn id="36" xr3:uid="{E05736C9-DE79-4F9D-AD78-44F76DF72904}" name="2057" dataDxfId="155"/>
    <tableColumn id="37" xr3:uid="{B71364FF-0D66-46BF-BC29-B78F02C36494}" name="2058" dataDxfId="154"/>
    <tableColumn id="38" xr3:uid="{EDACFF75-9E45-4C38-A038-DD8C7B390330}" name="2059" dataDxfId="153"/>
    <tableColumn id="39" xr3:uid="{E71CCF74-523D-44DD-AA6A-97790350A91A}" name="2060" dataDxfId="152"/>
    <tableColumn id="40" xr3:uid="{FC6094E9-AFE7-40F2-B265-0A95CED2F11F}" name="2061" dataDxfId="151"/>
    <tableColumn id="41" xr3:uid="{D90A5DD8-916E-4EFD-A537-30E797939870}" name="2062" dataDxfId="150"/>
    <tableColumn id="42" xr3:uid="{ADF020EA-D478-4FE2-B7B2-EC7C1FE5AACE}" name="2063" dataDxfId="149"/>
    <tableColumn id="43" xr3:uid="{C7CC925D-370D-4141-8D12-8C4D1F169DBB}" name="2064" dataDxfId="148"/>
    <tableColumn id="44" xr3:uid="{772B71E2-8BFA-4AC4-B223-DA63917AABCB}" name="2065" dataDxfId="147"/>
    <tableColumn id="45" xr3:uid="{9ED16936-E825-4D3E-A854-963BAE8044A3}" name="2066" dataDxfId="146"/>
    <tableColumn id="46" xr3:uid="{1ADB282A-FE23-49D4-B09A-9C8BB47602F7}" name="2067" dataDxfId="145"/>
    <tableColumn id="47" xr3:uid="{57159D14-3527-4D0E-9716-4E7D20DEAF90}" name="2068" dataDxfId="144"/>
    <tableColumn id="48" xr3:uid="{C2C42D42-08D5-4138-B694-C8D0E6279437}" name="2069" dataDxfId="143"/>
    <tableColumn id="49" xr3:uid="{CBE98675-063B-445C-AB52-ED825C93CB4F}" name="2070" dataDxfId="142"/>
    <tableColumn id="50" xr3:uid="{C3DFB8D6-4CE4-4CC9-8CEC-C2175C2868AB}" name="2071" dataDxfId="141"/>
    <tableColumn id="51" xr3:uid="{61F157D9-D5FF-4A4F-86F0-9B9107E29B96}" name="2072" dataDxfId="140"/>
    <tableColumn id="52" xr3:uid="{A7C44528-E981-4969-B36F-1E2481FF40CA}" name="2073" dataDxfId="139"/>
    <tableColumn id="53" xr3:uid="{ABB20099-6DBF-44BF-99B5-5778171A3EF4}" name="2074" dataDxfId="138"/>
    <tableColumn id="54" xr3:uid="{322D0A3B-53FF-4DBD-9CF6-76A22D71D4DC}" name="2075" dataDxfId="137"/>
    <tableColumn id="55" xr3:uid="{4A2A0558-73CF-4884-A304-583083933168}" name="2076" dataDxfId="136"/>
    <tableColumn id="56" xr3:uid="{2A5BC67C-31B2-4AE7-90A8-C05C1D06607F}" name="2077" dataDxfId="135"/>
    <tableColumn id="57" xr3:uid="{D53E5621-A91D-4288-B365-D28058A7149E}" name="2078" dataDxfId="134"/>
    <tableColumn id="58" xr3:uid="{B39157F8-B41C-4DE6-A531-83F5D5819D5F}" name="2079" dataDxfId="133"/>
  </tableColumns>
  <tableStyleInfo name="Calculations Tab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025406B-52BA-4356-97DA-5E3F31CD72A9}" name="Factor" displayName="Factor" ref="B17:G28" totalsRowShown="0" headerRowDxfId="132" dataDxfId="131" tableBorderDxfId="130">
  <autoFilter ref="B17:G28" xr:uid="{2025406B-52BA-4356-97DA-5E3F31CD72A9}"/>
  <tableColumns count="6">
    <tableColumn id="1" xr3:uid="{F342CD4D-5A8B-4A9F-A2DD-B46E9ED0B2E4}" name="Energy" dataDxfId="129"/>
    <tableColumn id="2" xr3:uid="{3C27DB88-D458-4145-AAB0-2FC24A8AC8FD}" name="Scenario" dataDxfId="128"/>
    <tableColumn id="3" xr3:uid="{96120C9E-3144-4C64-92C3-DDE7B8A8973E}" name="Units" dataDxfId="127"/>
    <tableColumn id="4" xr3:uid="{67C12CD8-E3A6-4F84-89F3-9F6DD06A9CC3}" name="Energy content factor_x000a_(GJ/kL)" dataDxfId="126"/>
    <tableColumn id="8" xr3:uid="{E6A4B1E2-0257-4F4D-8D53-EE911F11C7F8}" name="Unit" dataDxfId="125"/>
    <tableColumn id="5" xr3:uid="{55E55E03-AEBE-4A3D-B37C-031A0ECC88E5}" name="CO2_x000a_(kgCO2-e/GJ)" dataDxfId="124"/>
  </tableColumns>
  <tableStyleInfo name="Calculations Tab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F00004-A2E5-47FC-A52D-7F8B6F142435}" name="ValueEmis" displayName="ValueEmis" ref="B33:BH36" totalsRowShown="0" headerRowDxfId="123" dataDxfId="122" tableBorderDxfId="121">
  <autoFilter ref="B33:BH36" xr:uid="{7AF00004-A2E5-47FC-A52D-7F8B6F142435}"/>
  <tableColumns count="59">
    <tableColumn id="1" xr3:uid="{004DFD90-5965-49CD-BB16-3B012C9AAEFB}" name="Energy" dataDxfId="120"/>
    <tableColumn id="2" xr3:uid="{5FC26023-DCF6-4BA7-B42D-2F3963A7DBED}" name="Source" dataDxfId="119"/>
    <tableColumn id="3" xr3:uid="{161008B8-F9AE-4FD2-BA20-DECC72923EF9}" name="Unit" dataDxfId="118"/>
    <tableColumn id="60" xr3:uid="{956CE37C-65F8-40E4-9774-E093328CA2F7}" name="2024" dataDxfId="117"/>
    <tableColumn id="29" xr3:uid="{89A8BBA3-FC67-4970-8096-A5E4E41D0A2B}" name="2025" dataDxfId="116"/>
    <tableColumn id="4" xr3:uid="{AA2C93BE-DF59-45BF-A9F6-BE72EE80B4C0}" name="2026" dataDxfId="115"/>
    <tableColumn id="5" xr3:uid="{56E0D616-AC13-4823-BAF5-A4F2088E78C7}" name="2027" dataDxfId="114"/>
    <tableColumn id="6" xr3:uid="{7DFBC2DE-4A7D-43E2-BDF5-5FFC9D3E1A6F}" name="2028" dataDxfId="113"/>
    <tableColumn id="7" xr3:uid="{63DEA911-5B37-42B6-8898-60D7960C20A5}" name="2029" dataDxfId="112"/>
    <tableColumn id="8" xr3:uid="{241325EE-3228-45E0-95E0-6131BC4489C8}" name="2030" dataDxfId="111"/>
    <tableColumn id="9" xr3:uid="{35D8C96C-A7E2-4735-BE10-5D4CE0A0E133}" name="2031" dataDxfId="110"/>
    <tableColumn id="10" xr3:uid="{6E60CA8C-970E-47C0-97E7-8D2583221F81}" name="2032" dataDxfId="109"/>
    <tableColumn id="11" xr3:uid="{C136586E-1F26-41B4-8740-D0A432D5A98D}" name="2033" dataDxfId="108"/>
    <tableColumn id="12" xr3:uid="{7E7718DD-8185-4DCE-B424-3310FCB0398F}" name="2034" dataDxfId="107"/>
    <tableColumn id="13" xr3:uid="{1C17E6EA-A7EC-43E8-A49C-FCF022EE337A}" name="2035" dataDxfId="106"/>
    <tableColumn id="14" xr3:uid="{F00D115D-C6F7-4863-967D-559E26DA94D5}" name="2036" dataDxfId="105"/>
    <tableColumn id="15" xr3:uid="{B8AC8F17-A035-473B-8F01-872A119C13A7}" name="2037" dataDxfId="104"/>
    <tableColumn id="16" xr3:uid="{6D10252E-0EA2-4587-9716-F2324D3306CE}" name="2038" dataDxfId="103"/>
    <tableColumn id="17" xr3:uid="{2595164D-7522-4428-98B9-88E41D34CE25}" name="2039" dataDxfId="102"/>
    <tableColumn id="18" xr3:uid="{D7031674-74B4-452D-81DA-9971F23C0A3E}" name="2040" dataDxfId="101"/>
    <tableColumn id="19" xr3:uid="{D89D414C-14FA-4615-BD6A-E2EC035FB46C}" name="2041" dataDxfId="100"/>
    <tableColumn id="20" xr3:uid="{0AB158B3-7AC9-4DC9-8577-A69E01AD4877}" name="2042" dataDxfId="99"/>
    <tableColumn id="21" xr3:uid="{1E1D1ABF-0931-45C0-97CF-B63ADFEF842D}" name="2043" dataDxfId="98"/>
    <tableColumn id="22" xr3:uid="{33308233-93DF-4DA7-8C0E-3718BF892842}" name="2044" dataDxfId="97"/>
    <tableColumn id="23" xr3:uid="{F8E425B5-0EE9-4BDC-8416-4E9D4C791FE3}" name="2045" dataDxfId="96"/>
    <tableColumn id="24" xr3:uid="{206D83BA-6394-41A2-8BE5-7E2FF3D881F4}" name="2046" dataDxfId="95"/>
    <tableColumn id="25" xr3:uid="{FF6ACD69-2EA9-4283-AD51-8296414C2172}" name="2047" dataDxfId="94"/>
    <tableColumn id="26" xr3:uid="{24CF7DD4-935F-4C0B-842C-448E0FEBAF4F}" name="2048" dataDxfId="93"/>
    <tableColumn id="27" xr3:uid="{127A500E-4FB3-4B25-8ED1-336A850335F6}" name="2049" dataDxfId="92"/>
    <tableColumn id="28" xr3:uid="{50CCD0F4-7FBD-4E2E-AA5E-A98111675C8A}" name="2050" dataDxfId="91"/>
    <tableColumn id="30" xr3:uid="{CDA71140-3499-4C0E-A20C-3519C16033B0}" name="2051" dataDxfId="90"/>
    <tableColumn id="31" xr3:uid="{ED8AAEA5-C318-4400-8BE2-147194B9184A}" name="2052" dataDxfId="89"/>
    <tableColumn id="32" xr3:uid="{3A18BE6C-BEB7-4DA1-B0CD-88A7ABC74729}" name="2053" dataDxfId="88"/>
    <tableColumn id="33" xr3:uid="{D5A4B5FD-7686-444D-B447-1DDE1CC24BB4}" name="2054" dataDxfId="87"/>
    <tableColumn id="34" xr3:uid="{6ABCDFCD-78AA-45A2-938E-FE2271271CB2}" name="2055" dataDxfId="86"/>
    <tableColumn id="35" xr3:uid="{E9F0AA16-BDC6-49FC-AC3D-F8C0755BF601}" name="2056" dataDxfId="85"/>
    <tableColumn id="36" xr3:uid="{025AA56D-9E1B-4F06-9108-AAE0787BFB4C}" name="2057" dataDxfId="84"/>
    <tableColumn id="37" xr3:uid="{255129E5-B7E6-40B0-AF4D-3EE290A973C2}" name="2058" dataDxfId="83"/>
    <tableColumn id="38" xr3:uid="{5BEAAF60-6CE8-45E2-B3AF-C807D07D7785}" name="2059" dataDxfId="82"/>
    <tableColumn id="39" xr3:uid="{9A08438C-5709-40B2-93AA-8256A577D2D3}" name="2060" dataDxfId="81"/>
    <tableColumn id="40" xr3:uid="{DD9B67AE-AFC3-456B-B65A-E21C094F1D27}" name="2061" dataDxfId="80"/>
    <tableColumn id="41" xr3:uid="{9B1AAA77-2257-4C88-BC82-4A13035CF431}" name="2062" dataDxfId="79"/>
    <tableColumn id="42" xr3:uid="{D615D3EE-EA18-4748-8C81-B2F47107CFA8}" name="2063" dataDxfId="78"/>
    <tableColumn id="43" xr3:uid="{CED4430A-A40B-44C1-9E18-60AE99A5A8D1}" name="2064" dataDxfId="77"/>
    <tableColumn id="44" xr3:uid="{415E6BBA-EFC8-46CF-B9FB-21004B9A2F32}" name="2065" dataDxfId="76"/>
    <tableColumn id="45" xr3:uid="{4E0BC410-5EAA-402E-A6B1-F785CC8C90AB}" name="2066" dataDxfId="75"/>
    <tableColumn id="46" xr3:uid="{89249EA3-7470-4FF2-93BB-D08D3691FD32}" name="2067" dataDxfId="74"/>
    <tableColumn id="47" xr3:uid="{49D068BA-1A69-41AA-AC41-EB7004792F96}" name="2068" dataDxfId="73"/>
    <tableColumn id="48" xr3:uid="{4CB8B4BB-52D2-407A-956F-2DB74CD9C119}" name="2069" dataDxfId="72"/>
    <tableColumn id="49" xr3:uid="{2B2C2B01-C4E2-49BE-88C1-6ABC38D776BA}" name="2070" dataDxfId="71"/>
    <tableColumn id="50" xr3:uid="{636C9CB7-8622-4F5E-A2BD-EEB1600DDA27}" name="2071" dataDxfId="70"/>
    <tableColumn id="51" xr3:uid="{386AFBCA-F43D-4E42-A37E-55C91D75839F}" name="2072" dataDxfId="69"/>
    <tableColumn id="52" xr3:uid="{159E9109-CBC5-4A64-8533-5D971EE36863}" name="2073" dataDxfId="68"/>
    <tableColumn id="53" xr3:uid="{4B2AAF7D-4577-414A-A717-5BD38758334C}" name="2074" dataDxfId="67"/>
    <tableColumn id="54" xr3:uid="{F4243FC0-4098-4D7F-B81E-8DA0E7DE0020}" name="2075" dataDxfId="66"/>
    <tableColumn id="55" xr3:uid="{6DDB829F-0AD7-442E-97A6-467BC977F89A}" name="2076" dataDxfId="65"/>
    <tableColumn id="56" xr3:uid="{58B595B7-7502-41E9-A1FD-3C388FFEAD9C}" name="2077" dataDxfId="64"/>
    <tableColumn id="57" xr3:uid="{F3871597-EE2E-4111-B2FC-56EC6E1F4D4B}" name="2078" dataDxfId="63"/>
    <tableColumn id="58" xr3:uid="{AFE25891-B420-4509-AD26-30C49F0DB1AA}" name="2079" dataDxfId="62"/>
  </tableColumns>
  <tableStyleInfo name="Calculations Tab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0B204EA-2333-4F2B-85FA-B26B121DF317}" name="ACCU" displayName="ACCU" ref="B41:BH42" totalsRowShown="0" headerRowDxfId="61" dataDxfId="60" tableBorderDxfId="59">
  <autoFilter ref="B41:BH42" xr:uid="{90B204EA-2333-4F2B-85FA-B26B121DF317}"/>
  <tableColumns count="59">
    <tableColumn id="1" xr3:uid="{DC77088D-61FF-4D51-A3E2-95F562EE55B2}" name="Description" dataDxfId="58"/>
    <tableColumn id="2" xr3:uid="{517DE09E-CEE4-4D6F-B9C5-06E8A717DA41}" name="Source" dataDxfId="57" dataCellStyle="Hyperlink"/>
    <tableColumn id="3" xr3:uid="{5A3C4E2B-1478-4743-8F7A-B731F557AC62}" name="Unit" dataDxfId="56"/>
    <tableColumn id="60" xr3:uid="{C5058F1A-3709-4744-8402-05A3BE97FEA8}" name="2024" dataDxfId="55"/>
    <tableColumn id="29" xr3:uid="{78DE1A29-5A12-4493-A62B-5807088F403F}" name="2025" dataDxfId="54"/>
    <tableColumn id="4" xr3:uid="{89A23C3E-9B17-451D-B917-557944655487}" name="2026" dataDxfId="53"/>
    <tableColumn id="5" xr3:uid="{9335D115-A4B4-4D0B-BA58-9FBA7D8B89FB}" name="2027" dataDxfId="52"/>
    <tableColumn id="6" xr3:uid="{9A63B471-031A-4DE4-BEF3-4EA157C126B8}" name="2028" dataDxfId="51"/>
    <tableColumn id="7" xr3:uid="{CAE6C533-C36F-4CF3-8972-8D74598A0F83}" name="2029" dataDxfId="50"/>
    <tableColumn id="8" xr3:uid="{7B190FB4-EFA7-4B5B-92CA-9F11DA054A99}" name="2030" dataDxfId="49"/>
    <tableColumn id="9" xr3:uid="{12211F8F-0E08-4BEF-9A9E-E4BEDE534F81}" name="2031" dataDxfId="48"/>
    <tableColumn id="10" xr3:uid="{F73C9242-E313-4DE2-A13F-66F9172A1045}" name="2032" dataDxfId="47"/>
    <tableColumn id="11" xr3:uid="{0103905D-6E99-463A-97B5-F9DE9387BD43}" name="2033" dataDxfId="46"/>
    <tableColumn id="12" xr3:uid="{6C595870-ABA0-4E61-AA1A-3BE8AE8D7691}" name="2034" dataDxfId="45"/>
    <tableColumn id="13" xr3:uid="{7586EAC4-1F89-4C8A-B09F-9539C57EF0A0}" name="2035" dataDxfId="44"/>
    <tableColumn id="14" xr3:uid="{F18FD1CA-FD22-4D30-AE5C-5906F188D93B}" name="2036" dataDxfId="43"/>
    <tableColumn id="15" xr3:uid="{51017D00-F077-40CF-A440-8DA125E4E33D}" name="2037" dataDxfId="42"/>
    <tableColumn id="16" xr3:uid="{A050EBF7-CB62-4427-A6D3-CC5F7204A050}" name="2038" dataDxfId="41"/>
    <tableColumn id="17" xr3:uid="{2D73904A-C570-432C-B69C-84A492919615}" name="2039" dataDxfId="40"/>
    <tableColumn id="18" xr3:uid="{201799E8-8AAC-4DBD-8218-765EDF845258}" name="2040" dataDxfId="39"/>
    <tableColumn id="19" xr3:uid="{28D9CC39-8881-4226-A246-04296EC8B9D8}" name="2041" dataDxfId="38"/>
    <tableColumn id="20" xr3:uid="{1DBA16EC-E993-47B1-8B16-93E78D216099}" name="2042" dataDxfId="37"/>
    <tableColumn id="21" xr3:uid="{C4032F09-54CD-4E9B-ADD3-85A1C2A872EF}" name="2043" dataDxfId="36"/>
    <tableColumn id="22" xr3:uid="{94834641-A1D7-4D42-8E49-8A7866AB1F92}" name="2044" dataDxfId="35"/>
    <tableColumn id="23" xr3:uid="{7900CD46-6F43-4F24-A0C8-9EBC714EC050}" name="2045" dataDxfId="34"/>
    <tableColumn id="24" xr3:uid="{774BEC8F-4AD3-46ED-89E7-57C4CE515603}" name="2046" dataDxfId="33"/>
    <tableColumn id="25" xr3:uid="{BB76BDEE-58FE-4277-BE45-27B64B47FD01}" name="2047" dataDxfId="32"/>
    <tableColumn id="26" xr3:uid="{E20B9619-121C-471D-941E-284682A27E80}" name="2048" dataDxfId="31"/>
    <tableColumn id="27" xr3:uid="{705C07B2-F891-403A-B97C-B4AC6F167B32}" name="2049" dataDxfId="30"/>
    <tableColumn id="28" xr3:uid="{989CDD22-F33C-4EE9-8E65-D71D290A4897}" name="2050" dataDxfId="29"/>
    <tableColumn id="30" xr3:uid="{E10655B9-E8A3-4BFA-92F5-6F65D599C1DD}" name="2051" dataDxfId="28"/>
    <tableColumn id="31" xr3:uid="{9AA60B91-99D8-4637-9D03-4520107DBCAB}" name="2052" dataDxfId="27"/>
    <tableColumn id="32" xr3:uid="{8043A41B-0121-4458-BCCA-F2D14FE76F11}" name="2053" dataDxfId="26"/>
    <tableColumn id="33" xr3:uid="{60B59FBE-D7F9-434E-8D6A-948CB2E02F21}" name="2054" dataDxfId="25"/>
    <tableColumn id="34" xr3:uid="{29F4A989-D8E9-40CA-A53A-9F01B5E1932E}" name="2055" dataDxfId="24"/>
    <tableColumn id="35" xr3:uid="{3C27FCCD-0539-4AD7-AB94-460F32824DCA}" name="2056" dataDxfId="23"/>
    <tableColumn id="36" xr3:uid="{D8F0EC52-1F93-4EB4-997A-C2E86F924289}" name="2057" dataDxfId="22"/>
    <tableColumn id="37" xr3:uid="{BC9E11BF-4ECD-4093-AD61-FDD84BC7010B}" name="2058" dataDxfId="21"/>
    <tableColumn id="38" xr3:uid="{CBE5C718-B738-4A1D-BF23-1E8C0BB9D885}" name="2059" dataDxfId="20"/>
    <tableColumn id="39" xr3:uid="{9E2A3E02-45A7-4567-AC4B-A17B9F23CFF1}" name="2060" dataDxfId="19"/>
    <tableColumn id="40" xr3:uid="{E20ABADC-8056-4235-8553-97C76F3DF5EC}" name="2061" dataDxfId="18"/>
    <tableColumn id="41" xr3:uid="{B03406E3-1EAC-4694-8EF9-77BF669BB4D8}" name="2062" dataDxfId="17"/>
    <tableColumn id="42" xr3:uid="{256DE2B0-6B2F-42CF-BEEC-45EB7FB38327}" name="2063" dataDxfId="16"/>
    <tableColumn id="43" xr3:uid="{C63CE008-4DF4-4DF5-A5EE-3DAFCF8ACA64}" name="2064" dataDxfId="15"/>
    <tableColumn id="44" xr3:uid="{42ACF7F8-55DD-4496-9A1A-3CB32878F645}" name="2065" dataDxfId="14"/>
    <tableColumn id="45" xr3:uid="{63E676A2-7146-4CD4-AF0D-78F49BAB8C40}" name="2066" dataDxfId="13"/>
    <tableColumn id="46" xr3:uid="{FF06036A-1A64-40E0-9A2F-F973D7E23ED1}" name="2067" dataDxfId="12"/>
    <tableColumn id="47" xr3:uid="{AB7168F3-2E2C-4739-82DB-596E1B6FA5E4}" name="2068" dataDxfId="11"/>
    <tableColumn id="48" xr3:uid="{386F109A-8D7F-42FE-BCD0-132439161EA4}" name="2069" dataDxfId="10"/>
    <tableColumn id="49" xr3:uid="{F78C804C-A2BF-41D1-B9FF-45E85941BE1C}" name="2070" dataDxfId="9"/>
    <tableColumn id="50" xr3:uid="{87ABE828-86A7-4941-B459-BA3483DE0C98}" name="2071" dataDxfId="8"/>
    <tableColumn id="51" xr3:uid="{7059BA07-E97E-4386-84D6-CF218D791A78}" name="2072" dataDxfId="7"/>
    <tableColumn id="52" xr3:uid="{A3258BC6-3431-4909-92CA-3F047A0094F6}" name="2073" dataDxfId="6"/>
    <tableColumn id="53" xr3:uid="{F70D3209-08BD-40F3-9A5B-857B1CFA0BFF}" name="2074" dataDxfId="5"/>
    <tableColumn id="54" xr3:uid="{F33C98FF-4C59-48E1-85E0-217A1CB5A6F5}" name="2075" dataDxfId="4"/>
    <tableColumn id="55" xr3:uid="{0C6A3842-5B94-4791-8DDA-DED3C7B70C42}" name="2076" dataDxfId="3"/>
    <tableColumn id="56" xr3:uid="{B6F9B36A-4735-4127-8ECE-0233DFDBCA75}" name="2077" dataDxfId="2"/>
    <tableColumn id="57" xr3:uid="{C88C559D-D6F8-4FA7-AC9E-9E9F477C4959}" name="2078" dataDxfId="1"/>
    <tableColumn id="58" xr3:uid="{DB45FC9C-145C-4DD8-AD93-EA3A17D90A91}" name="2079" dataDxfId="0"/>
  </tableColumns>
  <tableStyleInfo name="Calculations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CCA0AC8-5539-4BAF-8493-8C0EF891E344}" name="ProjAsset" displayName="ProjAsset" ref="B9:E11" totalsRowShown="0" headerRowDxfId="1394" dataDxfId="1393" tableBorderDxfId="1392">
  <autoFilter ref="B9:E11" xr:uid="{BCCA0AC8-5539-4BAF-8493-8C0EF891E344}"/>
  <tableColumns count="4">
    <tableColumn id="1" xr3:uid="{3832EE45-537E-46BE-A88F-412AC7251CB6}" name="Item" dataDxfId="1391"/>
    <tableColumn id="2" xr3:uid="{84BF2AC8-D222-49A6-9C0F-6BEBC53CEE71}" name="Description" dataDxfId="1390"/>
    <tableColumn id="3" xr3:uid="{6F119ACF-544A-46A5-82A9-E8E7FB0D33D9}" name="Units" dataDxfId="1389"/>
    <tableColumn id="4" xr3:uid="{4BA77C7C-6F49-447A-B0C2-126FEA53D8D6}" name="Value" dataDxfId="1388"/>
  </tableColumns>
  <tableStyleInfo name="Calculations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F243A9B-3DEC-4072-B7A4-71547A095A03}" name="ProjCons" displayName="ProjCons" ref="B23:BI28" totalsRowShown="0" headerRowDxfId="1387" dataDxfId="1386" tableBorderDxfId="1385">
  <autoFilter ref="B23:BI28" xr:uid="{4F243A9B-3DEC-4072-B7A4-71547A095A03}"/>
  <tableColumns count="60">
    <tableColumn id="1" xr3:uid="{8000D85A-99F7-4D31-A430-5AF454CC4488}" name="Item" dataDxfId="1384"/>
    <tableColumn id="2" xr3:uid="{1D219999-D4CA-489E-8242-B7594EA81690}" name="Description" dataDxfId="1383"/>
    <tableColumn id="3" xr3:uid="{7BCD57C2-8509-434E-B0CE-DCEFEE7A8AA6}" name="Units" dataDxfId="1382"/>
    <tableColumn id="4" xr3:uid="{B7AA8A1E-D47A-4D5C-9746-0EA40FAC4A13}" name="Source" dataDxfId="1381"/>
    <tableColumn id="40" xr3:uid="{5C3AD8C2-494F-45BF-9B7E-C19654678BD4}" name="FY24/25" dataDxfId="1380"/>
    <tableColumn id="5" xr3:uid="{775E9BB9-1B49-4266-927E-8D7BDBEEB483}" name="FY25/26" dataDxfId="1379"/>
    <tableColumn id="6" xr3:uid="{8682BA9B-2903-4159-B7F0-2FCC67048902}" name="FY26/27" dataDxfId="1378"/>
    <tableColumn id="7" xr3:uid="{FC3B60F4-6FA2-4759-85AB-7E1948D9C9A7}" name="FY27/28" dataDxfId="1377"/>
    <tableColumn id="8" xr3:uid="{D7715137-3EF1-45DF-AAAE-984B7A62B484}" name="FY28/29" dataDxfId="1376"/>
    <tableColumn id="9" xr3:uid="{E6881EC9-F6E9-40B3-806D-B9B34DFE0F20}" name="FY29/30" dataDxfId="1375"/>
    <tableColumn id="10" xr3:uid="{DBCF5083-1ECC-4DFD-8DE6-AE13139C56F3}" name="FY30/31" dataDxfId="1374"/>
    <tableColumn id="11" xr3:uid="{B1DF7C48-1B1C-4951-9888-3FEB36D8387F}" name="FY31/32" dataDxfId="1373"/>
    <tableColumn id="12" xr3:uid="{21FF7315-6335-4673-B595-E13AAC5CA0FC}" name="FY32/33" dataDxfId="1372"/>
    <tableColumn id="13" xr3:uid="{604EE746-1F09-4EA4-A14A-ACBCAF1E374F}" name="FY33/34" dataDxfId="1371"/>
    <tableColumn id="14" xr3:uid="{92CD6DBA-0793-46E1-8450-ABB66D42A70F}" name="FY34/35" dataDxfId="1370"/>
    <tableColumn id="15" xr3:uid="{6DD49AD8-1A98-4E16-9317-D3C64DF7038C}" name="FY35/36" dataDxfId="1369"/>
    <tableColumn id="16" xr3:uid="{BDCFDFE7-6BAB-4624-9821-D8502E4D9E08}" name="FY36/37" dataDxfId="1368"/>
    <tableColumn id="17" xr3:uid="{0E00B0EF-9621-48F3-A8D0-D8B7DD5880EE}" name="FY37/38" dataDxfId="1367"/>
    <tableColumn id="18" xr3:uid="{3D2685D1-DA05-4508-BCA5-DD0B7EE4C43E}" name="FY38/39" dataDxfId="1366"/>
    <tableColumn id="19" xr3:uid="{877EF8F3-C768-436D-B290-C3B35E328148}" name="FY39/40" dataDxfId="1365"/>
    <tableColumn id="20" xr3:uid="{60ADE86A-B162-447D-9B36-FE5120C14146}" name="FY40/41" dataDxfId="1364"/>
    <tableColumn id="21" xr3:uid="{D3E6D9B2-AD56-4A9B-9E60-390832C81264}" name="FY41/42" dataDxfId="1363"/>
    <tableColumn id="22" xr3:uid="{9421818C-91C7-482B-B36B-8C0BF857D8BC}" name="FY42/43" dataDxfId="1362"/>
    <tableColumn id="23" xr3:uid="{9A84BBF4-7C90-4457-B9ED-28E506453B2E}" name="FY43/44" dataDxfId="1361"/>
    <tableColumn id="24" xr3:uid="{CE840DB6-90DB-458A-BE50-34C7225DF43A}" name="FY44/45" dataDxfId="1360"/>
    <tableColumn id="25" xr3:uid="{8DD8B57C-2292-4397-98C2-D911286D4767}" name="FY45/46" dataDxfId="1359"/>
    <tableColumn id="26" xr3:uid="{10B0580A-A0C7-4B16-8926-2BC4E44DC217}" name="FY46/47" dataDxfId="1358"/>
    <tableColumn id="27" xr3:uid="{FF2FC105-735E-43C1-8DC6-DB2352F73E52}" name="FY47/48" dataDxfId="1357"/>
    <tableColumn id="28" xr3:uid="{C121F220-F5CF-4E7C-B97E-6024208D98DF}" name="FY48/49" dataDxfId="1356"/>
    <tableColumn id="29" xr3:uid="{D09C3049-9901-4597-ADDC-179FDD914776}" name="FY49/50" dataDxfId="1355"/>
    <tableColumn id="30" xr3:uid="{801A85D2-0FF5-44D0-A451-8FCD1045A045}" name="FY50/51" dataDxfId="1354"/>
    <tableColumn id="31" xr3:uid="{F2465942-1365-4C30-8DF4-C25BB966EF17}" name="FY51/52" dataDxfId="1353"/>
    <tableColumn id="32" xr3:uid="{CE53263E-565B-4555-8FE9-4CE3030E17D8}" name="FY52/53" dataDxfId="1352"/>
    <tableColumn id="33" xr3:uid="{63355E9F-5A79-40EB-B8F5-F8F036752FBB}" name="FY53/54" dataDxfId="1351"/>
    <tableColumn id="34" xr3:uid="{1AC8FCCD-2A9A-4714-B648-6401B9B8975B}" name="FY54/55" dataDxfId="1350"/>
    <tableColumn id="35" xr3:uid="{46D02A99-3476-47E0-9B6D-504460BE12DF}" name="FY55/56" dataDxfId="1349"/>
    <tableColumn id="36" xr3:uid="{F831719C-9767-4C06-90E6-25B861A20EE4}" name="FY56/57" dataDxfId="1348"/>
    <tableColumn id="37" xr3:uid="{1E14E3FB-B24E-4CC3-B638-3B0926837948}" name="FY57/58" dataDxfId="1347"/>
    <tableColumn id="38" xr3:uid="{FC67DEC5-6AD0-444F-8FED-B042A228DEE4}" name="FY58/59" dataDxfId="1346"/>
    <tableColumn id="39" xr3:uid="{5EC94E34-A91C-441B-B940-1DE5E7DABD9B}" name="FY59/60" dataDxfId="1345"/>
    <tableColumn id="41" xr3:uid="{F7FA2282-70AE-4DDF-8589-CD928F9CC21E}" name="FY60/61" dataDxfId="1344"/>
    <tableColumn id="42" xr3:uid="{FFDE547D-2C91-411E-8BFA-7C640C18F820}" name="FY61/62" dataDxfId="1343"/>
    <tableColumn id="43" xr3:uid="{C82FB5DA-D049-4629-AE70-A6C9BA3669D4}" name="FY62/63" dataDxfId="1342"/>
    <tableColumn id="44" xr3:uid="{8EFDCD9B-C227-4A88-B15D-CBC349A6A39E}" name="FY63/64" dataDxfId="1341"/>
    <tableColumn id="45" xr3:uid="{E10BADA5-263E-4980-9BB4-1569C11ADF63}" name="FY64/65" dataDxfId="1340"/>
    <tableColumn id="46" xr3:uid="{6008FBD5-1798-4CB6-8187-B5C3C505E5B8}" name="FY65/66" dataDxfId="1339"/>
    <tableColumn id="47" xr3:uid="{C6C97900-519F-4553-B959-0FAEDAA64C2D}" name="FY66/67" dataDxfId="1338"/>
    <tableColumn id="48" xr3:uid="{A58F2769-591F-406E-B44F-4392B6F73CEF}" name="FY67/68" dataDxfId="1337"/>
    <tableColumn id="49" xr3:uid="{41FFA374-F0A0-4EAF-BF22-48801466832C}" name="FY68/69" dataDxfId="1336"/>
    <tableColumn id="50" xr3:uid="{398AF48A-EDCE-4143-8E3E-456416214C1A}" name="FY69/70" dataDxfId="1335"/>
    <tableColumn id="51" xr3:uid="{AC5CC36D-4266-416F-988A-124F9EA17B59}" name="FY70/71" dataDxfId="1334"/>
    <tableColumn id="52" xr3:uid="{DED359B6-AA03-4C12-83EF-943569AE0B06}" name="FY71/72" dataDxfId="1333"/>
    <tableColumn id="53" xr3:uid="{59B050D2-307F-4F0E-937B-C943D371CC13}" name="FY72/73" dataDxfId="1332"/>
    <tableColumn id="54" xr3:uid="{749CC727-9C32-49E5-A77C-7545CE8BE946}" name="FY73/74" dataDxfId="1331"/>
    <tableColumn id="55" xr3:uid="{1784718E-FFE3-4349-BBC6-E4ED5B3DF838}" name="FY74/75" dataDxfId="1330"/>
    <tableColumn id="56" xr3:uid="{9B1B3AB1-6380-44CE-8E36-9F4D20F3A58A}" name="FY75/76" dataDxfId="1329"/>
    <tableColumn id="57" xr3:uid="{07954756-5F02-4E42-9A14-D77E9073777E}" name="FY76/77" dataDxfId="1328"/>
    <tableColumn id="58" xr3:uid="{7C8779B9-70F3-485B-A70D-49AB36814B08}" name="FY77/78" dataDxfId="1327"/>
    <tableColumn id="59" xr3:uid="{C6CEFF9B-8568-47D9-9F3A-E727D034EE9C}" name="FY78/79" dataDxfId="1326"/>
    <tableColumn id="60" xr3:uid="{2A99D662-E30E-4D6B-9705-486B511A487A}" name="FY79/80" dataDxfId="1325"/>
  </tableColumns>
  <tableStyleInfo name="Project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44F13C0-3B7B-47E5-8844-597AFC544C26}" name="ProjSource" displayName="ProjSource" ref="B40:BI44" headerRowDxfId="1324" dataDxfId="1323" tableBorderDxfId="1322">
  <autoFilter ref="B40:BI44" xr:uid="{044F13C0-3B7B-47E5-8844-597AFC544C26}"/>
  <tableColumns count="60">
    <tableColumn id="1" xr3:uid="{41381109-7C1F-44A5-B9E1-ACA5E1108266}" name="Item" totalsRowLabel="Total emissions - scope 1" dataDxfId="1321" totalsRowDxfId="1320"/>
    <tableColumn id="2" xr3:uid="{B0AEAD9B-3B7A-41B6-87E6-93A8499847EB}" name="Description" dataDxfId="1319" totalsRowDxfId="1318"/>
    <tableColumn id="3" xr3:uid="{C09706FC-12AF-4374-A905-4B0702607B5B}" name="Unit" totalsRowLabel="tCO2-e" dataDxfId="1317" totalsRowDxfId="1316"/>
    <tableColumn id="4" xr3:uid="{17BB5508-DDEB-4A58-9134-337CD5C1255D}" name="Source" totalsRowLabel="All" dataDxfId="1315" totalsRowDxfId="1314"/>
    <tableColumn id="40" xr3:uid="{36B877A9-87DA-4F49-A83E-F8C5D28DACE7}" name="FY24/25" dataDxfId="1313" totalsRowDxfId="1312"/>
    <tableColumn id="5" xr3:uid="{54BE90E6-86A1-415E-A95A-33AA8E290067}" name="FY25/26" totalsRowFunction="sum" dataDxfId="1311" totalsRowDxfId="1310"/>
    <tableColumn id="6" xr3:uid="{B4C2BEA5-C083-47C4-B34B-FD9B30689BC9}" name="FY26/27" totalsRowFunction="sum" dataDxfId="1309" totalsRowDxfId="1308"/>
    <tableColumn id="7" xr3:uid="{3303723A-7AF4-4648-A307-2EE4D0AB647E}" name="FY27/28" totalsRowFunction="sum" dataDxfId="1307" totalsRowDxfId="1306"/>
    <tableColumn id="8" xr3:uid="{672047AE-0B21-4EE2-B7B2-F4907058E651}" name="FY28/29" totalsRowFunction="sum" dataDxfId="1305" totalsRowDxfId="1304"/>
    <tableColumn id="9" xr3:uid="{5787CB5C-33FE-40CA-B7D3-ECA5BB48771E}" name="FY29/30" totalsRowFunction="sum" dataDxfId="1303" totalsRowDxfId="1302"/>
    <tableColumn id="10" xr3:uid="{BF0B62A0-C492-4D2D-855B-F77308EBABEE}" name="FY30/31" totalsRowFunction="sum" dataDxfId="1301" totalsRowDxfId="1300"/>
    <tableColumn id="11" xr3:uid="{F61AE4F2-3B77-46E2-81D2-9C3BD29ED288}" name="FY31/32" totalsRowFunction="sum" dataDxfId="1299" totalsRowDxfId="1298"/>
    <tableColumn id="12" xr3:uid="{717CD893-3A84-4F4E-837E-9FB4893A053C}" name="FY32/33" totalsRowFunction="sum" dataDxfId="1297" totalsRowDxfId="1296"/>
    <tableColumn id="13" xr3:uid="{A75100BF-9277-43C8-9654-8E607B005703}" name="FY33/34" totalsRowFunction="sum" dataDxfId="1295" totalsRowDxfId="1294"/>
    <tableColumn id="14" xr3:uid="{323A4475-56EB-4DD8-8632-FE41908FA62B}" name="FY34/35" totalsRowFunction="sum" dataDxfId="1293" totalsRowDxfId="1292"/>
    <tableColumn id="15" xr3:uid="{306D3F27-9D80-4B5F-9210-1A6066033F37}" name="FY35/36" totalsRowFunction="sum" dataDxfId="1291" totalsRowDxfId="1290"/>
    <tableColumn id="16" xr3:uid="{07D4E01D-0D5A-4DC3-88D9-CBF6706FCC04}" name="FY36/37" totalsRowFunction="sum" dataDxfId="1289" totalsRowDxfId="1288"/>
    <tableColumn id="17" xr3:uid="{A55CD1C2-5B5C-475B-B9E3-E88A1A00DB7A}" name="FY37/38" totalsRowFunction="sum" dataDxfId="1287" totalsRowDxfId="1286"/>
    <tableColumn id="18" xr3:uid="{4FC81CAA-5D8E-47EF-A28B-7D2CD17442AB}" name="FY38/39" totalsRowFunction="sum" dataDxfId="1285" totalsRowDxfId="1284"/>
    <tableColumn id="19" xr3:uid="{4521B571-3875-4D02-8944-0E8AA4790D33}" name="FY39/40" totalsRowFunction="sum" dataDxfId="1283" totalsRowDxfId="1282"/>
    <tableColumn id="20" xr3:uid="{7B545420-0F45-4B09-953E-D988DF745FBB}" name="FY40/41" totalsRowFunction="sum" dataDxfId="1281" totalsRowDxfId="1280"/>
    <tableColumn id="21" xr3:uid="{BAEF7B9D-7A21-458D-8B1C-E47540D5137A}" name="FY41/42" totalsRowFunction="sum" dataDxfId="1279" totalsRowDxfId="1278"/>
    <tableColumn id="22" xr3:uid="{4199F4E5-E73E-4568-9ABD-FA150B7654B3}" name="FY42/43" totalsRowFunction="sum" dataDxfId="1277" totalsRowDxfId="1276"/>
    <tableColumn id="23" xr3:uid="{B1CD694D-D017-421F-B078-C23BFC2728BC}" name="FY43/44" totalsRowFunction="sum" dataDxfId="1275" totalsRowDxfId="1274"/>
    <tableColumn id="24" xr3:uid="{0E809C36-08B9-462D-B013-64A74C82F811}" name="FY44/45" totalsRowFunction="sum" dataDxfId="1273" totalsRowDxfId="1272"/>
    <tableColumn id="25" xr3:uid="{1B8C25BC-C24D-4F36-917D-28C019E6FFCB}" name="FY45/46" totalsRowFunction="sum" dataDxfId="1271" totalsRowDxfId="1270"/>
    <tableColumn id="26" xr3:uid="{4B874EDB-06E4-42B0-808C-BA4D70EF72C3}" name="FY46/47" totalsRowFunction="sum" dataDxfId="1269" totalsRowDxfId="1268"/>
    <tableColumn id="27" xr3:uid="{1574036F-F791-434E-A430-B116DCA7099F}" name="FY47/48" totalsRowFunction="sum" dataDxfId="1267" totalsRowDxfId="1266"/>
    <tableColumn id="28" xr3:uid="{7F1DFB75-9AC8-4060-BC3B-969068999DC3}" name="FY48/49" totalsRowFunction="sum" dataDxfId="1265" totalsRowDxfId="1264"/>
    <tableColumn id="29" xr3:uid="{CD43F9DB-6BB3-4D4F-BA36-C0EF8AD808F8}" name="FY49/50" totalsRowFunction="sum" dataDxfId="1263" totalsRowDxfId="1262"/>
    <tableColumn id="30" xr3:uid="{21712804-7156-4369-BBCF-399C01BB9C6B}" name="FY50/51" totalsRowFunction="sum" dataDxfId="1261" totalsRowDxfId="1260"/>
    <tableColumn id="31" xr3:uid="{B19E92B4-0477-4FD0-97E5-802C8F2E8BE5}" name="FY51/52" totalsRowFunction="sum" dataDxfId="1259" totalsRowDxfId="1258"/>
    <tableColumn id="32" xr3:uid="{EB8E198D-6101-4033-9073-D6890AC9412B}" name="FY52/53" totalsRowFunction="sum" dataDxfId="1257" totalsRowDxfId="1256"/>
    <tableColumn id="33" xr3:uid="{CA0A2EAE-2787-4445-89A8-7AB714C88257}" name="FY53/54" totalsRowFunction="sum" dataDxfId="1255" totalsRowDxfId="1254"/>
    <tableColumn id="34" xr3:uid="{E930E46A-1B5D-4B1C-9D25-A2DE0FA95450}" name="FY54/55" totalsRowFunction="sum" dataDxfId="1253" totalsRowDxfId="1252"/>
    <tableColumn id="35" xr3:uid="{551A353E-8D08-4963-B107-A8781C9FE3E8}" name="FY55/56" totalsRowFunction="sum" dataDxfId="1251" totalsRowDxfId="1250"/>
    <tableColumn id="36" xr3:uid="{042D4003-B7FF-4A6E-AF07-ECCB3B7B4A1E}" name="FY56/57" totalsRowFunction="sum" dataDxfId="1249" totalsRowDxfId="1248"/>
    <tableColumn id="37" xr3:uid="{30A642E2-678A-4381-989C-BAF83C7FF0B6}" name="FY57/58" totalsRowFunction="sum" dataDxfId="1247" totalsRowDxfId="1246"/>
    <tableColumn id="38" xr3:uid="{EDBF5BE2-A44D-41AB-9624-CEB88FA34B59}" name="FY58/59" totalsRowFunction="sum" dataDxfId="1245" totalsRowDxfId="1244"/>
    <tableColumn id="39" xr3:uid="{3317BE1E-0EFA-4D16-BB1B-F5AA3C33509E}" name="FY59/60" totalsRowFunction="sum" dataDxfId="1243" totalsRowDxfId="1242"/>
    <tableColumn id="41" xr3:uid="{819EDAD7-0806-4F0F-851A-6738574F6F46}" name="FY60/61" dataDxfId="1241" totalsRowDxfId="1240"/>
    <tableColumn id="42" xr3:uid="{9E120A53-2AAA-4DC3-A36B-85007A404488}" name="FY61/62" dataDxfId="1239" totalsRowDxfId="1238"/>
    <tableColumn id="43" xr3:uid="{6605CF2B-E315-4375-83A0-3E1F6ACE8C3E}" name="FY62/63" dataDxfId="1237" totalsRowDxfId="1236"/>
    <tableColumn id="44" xr3:uid="{8CC18585-7481-40D3-B626-95C5B3A7E46E}" name="FY63/64" dataDxfId="1235" totalsRowDxfId="1234"/>
    <tableColumn id="45" xr3:uid="{39F312EC-2961-47C2-851C-14833EB5DD97}" name="FY64/65" dataDxfId="1233" totalsRowDxfId="1232"/>
    <tableColumn id="46" xr3:uid="{EAB242DB-999E-4C69-BCA4-55267DB24DC9}" name="FY65/66" dataDxfId="1231" totalsRowDxfId="1230"/>
    <tableColumn id="47" xr3:uid="{BA7E266F-6643-459D-859B-E50F505A7531}" name="FY66/67" dataDxfId="1229" totalsRowDxfId="1228"/>
    <tableColumn id="48" xr3:uid="{8D6309DC-E1C1-4E64-A66E-85B09A914041}" name="FY67/68" dataDxfId="1227" totalsRowDxfId="1226"/>
    <tableColumn id="49" xr3:uid="{C4C97532-A837-4C65-8495-7E3DD84BBF57}" name="FY68/69" dataDxfId="1225" totalsRowDxfId="1224"/>
    <tableColumn id="50" xr3:uid="{62B3F76B-BC7E-4667-B82F-52C2E158AE56}" name="FY69/70" dataDxfId="1223" totalsRowDxfId="1222"/>
    <tableColumn id="51" xr3:uid="{FCFB4ECE-BB64-4353-943E-E57D0626CC49}" name="FY70/71" dataDxfId="1221" totalsRowDxfId="1220"/>
    <tableColumn id="52" xr3:uid="{7369198E-BDC6-4803-967C-6BF48497BE6A}" name="FY71/72" dataDxfId="1219" totalsRowDxfId="1218"/>
    <tableColumn id="53" xr3:uid="{F827C734-D9E8-4046-A01D-2EA2F1F38456}" name="FY72/73" dataDxfId="1217" totalsRowDxfId="1216"/>
    <tableColumn id="54" xr3:uid="{78059753-4909-485A-A6F9-CA79F6623330}" name="FY73/74" dataDxfId="1215" totalsRowDxfId="1214"/>
    <tableColumn id="55" xr3:uid="{37EC7876-372F-454B-8BD4-6FC7C23AABA4}" name="FY74/75" dataDxfId="1213" totalsRowDxfId="1212"/>
    <tableColumn id="56" xr3:uid="{A1F2431C-D62D-49B8-975E-5A73929BAD86}" name="FY75/76" dataDxfId="1211" totalsRowDxfId="1210"/>
    <tableColumn id="57" xr3:uid="{3C5716BE-B4FD-45A5-BCE4-8EAC5080EFFE}" name="FY76/77" dataDxfId="1209" totalsRowDxfId="1208"/>
    <tableColumn id="58" xr3:uid="{50FBE85C-7D67-4309-A711-01C0300D4285}" name="FY77/78" dataDxfId="1207" totalsRowDxfId="1206"/>
    <tableColumn id="59" xr3:uid="{021394AF-4CAC-45CE-BBE6-38F629A3EBB2}" name="FY78/79" dataDxfId="1205" totalsRowDxfId="1204"/>
    <tableColumn id="60" xr3:uid="{A74B747F-F0F6-4FBC-A063-A8F0C7B084EE}" name="FY79/80" dataDxfId="1203" totalsRowDxfId="1202"/>
  </tableColumns>
  <tableStyleInfo name="Project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7116ECD-EFE5-4A28-9759-D9E3849C1F02}" name="EmCalc" displayName="EmCalc" ref="B71:E78" totalsRowShown="0" headerRowDxfId="1201" dataDxfId="1200" tableBorderDxfId="1199">
  <autoFilter ref="B71:E78" xr:uid="{17116ECD-EFE5-4A28-9759-D9E3849C1F02}"/>
  <tableColumns count="4">
    <tableColumn id="1" xr3:uid="{030A4A49-B4C3-42D6-8F77-814A1C054A41}" name="Item" dataDxfId="1198"/>
    <tableColumn id="2" xr3:uid="{3C6854CC-4B08-401C-AAB7-F816677B602A}" name="Units" dataDxfId="1197"/>
    <tableColumn id="3" xr3:uid="{502E34F3-0462-40F8-96E2-196FC2616605}" name="Baseline" dataDxfId="1196"/>
    <tableColumn id="4" xr3:uid="{1370224E-0EB8-4FC2-BC9F-27395AD6D660}" name="Project" dataDxfId="1195"/>
  </tableColumns>
  <tableStyleInfo name="Calculations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4ED0683-18F5-4C1D-B06E-2CCFB85C52CB}" name="BaseTEm" displayName="BaseTEm" ref="B50:BI53" totalsRowCount="1" headerRowDxfId="1194" dataDxfId="1193" totalsRowDxfId="1191" tableBorderDxfId="1192">
  <autoFilter ref="B50:BI52" xr:uid="{84ED0683-18F5-4C1D-B06E-2CCFB85C52CB}"/>
  <tableColumns count="60">
    <tableColumn id="1" xr3:uid="{610CEDC4-A17D-46E2-8A0A-CE6C4EE524C5}" name="Item" totalsRowLabel="Total emissions - Baseline" dataDxfId="1190" totalsRowDxfId="1189"/>
    <tableColumn id="2" xr3:uid="{90D02B15-7678-41CD-998C-C9541EA049F1}" name="Description" dataDxfId="1188" totalsRowDxfId="1187"/>
    <tableColumn id="3" xr3:uid="{A33E311F-C8C5-48BF-8C1B-E39607475D53}" name="Unit" totalsRowLabel="tCO2-e" dataDxfId="1186" totalsRowDxfId="1185"/>
    <tableColumn id="4" xr3:uid="{79BF35C1-CF10-4A41-B5A2-4356EEBF302D}" name="Source" totalsRowLabel="All" dataDxfId="1184" totalsRowDxfId="1183"/>
    <tableColumn id="40" xr3:uid="{230C3844-07E3-4EC9-8D40-D568941365C7}" name="FY24/25" totalsRowFunction="sum" dataDxfId="1182" totalsRowDxfId="1181"/>
    <tableColumn id="5" xr3:uid="{BF8305B5-283B-4989-ACE4-0F6DE7D883CE}" name="FY25/26" totalsRowFunction="sum" dataDxfId="1180" totalsRowDxfId="1179"/>
    <tableColumn id="6" xr3:uid="{99C27549-5D4B-443E-8D52-A7B31DAE1FF8}" name="FY26/27" totalsRowFunction="sum" dataDxfId="1178" totalsRowDxfId="1177"/>
    <tableColumn id="7" xr3:uid="{D173E2C4-3282-4B36-890F-D8D2BDCA569C}" name="FY27/28" totalsRowFunction="sum" dataDxfId="1176" totalsRowDxfId="1175"/>
    <tableColumn id="8" xr3:uid="{204EE969-98BB-48DA-894F-71472293154F}" name="FY28/29" totalsRowFunction="sum" dataDxfId="1174" totalsRowDxfId="1173"/>
    <tableColumn id="9" xr3:uid="{A6D63C6E-6219-41D2-9200-BC916DB7B368}" name="FY29/30" totalsRowFunction="sum" dataDxfId="1172" totalsRowDxfId="1171"/>
    <tableColumn id="10" xr3:uid="{26FF086F-6253-4834-B32B-12DC5B124349}" name="FY30/31" totalsRowFunction="sum" dataDxfId="1170" totalsRowDxfId="1169"/>
    <tableColumn id="11" xr3:uid="{93891847-1AF3-49D0-8ABE-CBBDF304C05D}" name="FY31/32" totalsRowFunction="sum" dataDxfId="1168" totalsRowDxfId="1167"/>
    <tableColumn id="12" xr3:uid="{0EE3B174-08D2-4CAE-A7BB-20CEFAC785C9}" name="FY32/33" totalsRowFunction="sum" dataDxfId="1166" totalsRowDxfId="1165"/>
    <tableColumn id="13" xr3:uid="{B9FBF105-9FBA-4550-9499-97D1D6AFE71E}" name="FY33/34" totalsRowFunction="sum" dataDxfId="1164" totalsRowDxfId="1163"/>
    <tableColumn id="14" xr3:uid="{745DB669-F893-4791-B6AD-1996C73054A1}" name="FY34/35" totalsRowFunction="sum" dataDxfId="1162" totalsRowDxfId="1161"/>
    <tableColumn id="15" xr3:uid="{15F0CB95-E0B2-4C02-A327-C4D32094369E}" name="FY35/36" totalsRowFunction="sum" dataDxfId="1160" totalsRowDxfId="1159"/>
    <tableColumn id="16" xr3:uid="{BB5F1B72-8E17-4D8A-8A37-C3AF0462F8B8}" name="FY36/37" totalsRowFunction="sum" dataDxfId="1158" totalsRowDxfId="1157"/>
    <tableColumn id="17" xr3:uid="{37AC89CE-1367-4D62-BE32-9D9315EC4302}" name="FY37/38" totalsRowFunction="sum" dataDxfId="1156" totalsRowDxfId="1155"/>
    <tableColumn id="18" xr3:uid="{618098F7-A53D-4B19-B4E7-312E4EDF6E15}" name="FY38/39" totalsRowFunction="sum" dataDxfId="1154" totalsRowDxfId="1153"/>
    <tableColumn id="19" xr3:uid="{2FEACCF7-A395-49DC-B622-76543549CCC4}" name="FY39/40" totalsRowFunction="sum" dataDxfId="1152" totalsRowDxfId="1151"/>
    <tableColumn id="20" xr3:uid="{42EED4F7-84A5-43BC-B2D6-0498F75F202B}" name="FY40/41" totalsRowFunction="sum" dataDxfId="1150" totalsRowDxfId="1149"/>
    <tableColumn id="21" xr3:uid="{40659ACB-5EA5-483E-9816-DCFEBE98288A}" name="FY41/42" totalsRowFunction="sum" dataDxfId="1148" totalsRowDxfId="1147"/>
    <tableColumn id="22" xr3:uid="{97B2952A-075E-41A1-A14E-32A44870B56B}" name="FY42/43" totalsRowFunction="sum" dataDxfId="1146" totalsRowDxfId="1145"/>
    <tableColumn id="23" xr3:uid="{FF30BB02-879D-457F-99BF-B15DAE4B90C6}" name="FY43/44" totalsRowFunction="sum" dataDxfId="1144" totalsRowDxfId="1143"/>
    <tableColumn id="24" xr3:uid="{4106CD09-FE7E-4E26-99CA-AC017DDDD39B}" name="FY44/45" totalsRowFunction="sum" dataDxfId="1142" totalsRowDxfId="1141"/>
    <tableColumn id="25" xr3:uid="{833D6909-F293-44C8-BF86-4CF06898551E}" name="FY45/46" totalsRowFunction="sum" dataDxfId="1140" totalsRowDxfId="1139"/>
    <tableColumn id="26" xr3:uid="{E47E1EDF-BA39-4744-81CC-B11A74215585}" name="FY46/47" totalsRowFunction="sum" dataDxfId="1138" totalsRowDxfId="1137"/>
    <tableColumn id="27" xr3:uid="{7CEFBF1F-4E5A-4443-9385-1F8F8115F1EE}" name="FY47/48" totalsRowFunction="sum" dataDxfId="1136" totalsRowDxfId="1135"/>
    <tableColumn id="28" xr3:uid="{9D0B3065-4425-49E3-8B53-43C31BE0087F}" name="FY48/49" totalsRowFunction="sum" dataDxfId="1134" totalsRowDxfId="1133"/>
    <tableColumn id="29" xr3:uid="{1FAA222F-FABC-409F-BFD2-39D4790CB2F1}" name="FY49/50" totalsRowFunction="sum" dataDxfId="1132" totalsRowDxfId="1131"/>
    <tableColumn id="30" xr3:uid="{5E8CCB09-4C05-4D63-B2D3-E5E5A5587191}" name="FY50/51" totalsRowFunction="sum" dataDxfId="1130" totalsRowDxfId="1129"/>
    <tableColumn id="31" xr3:uid="{6D4771BB-AB4A-41E6-A7CC-7A69ECE960CE}" name="FY51/52" totalsRowFunction="sum" dataDxfId="1128" totalsRowDxfId="1127"/>
    <tableColumn id="32" xr3:uid="{5FE7C0A2-8923-4BE1-9347-0A89E937DF7F}" name="FY52/53" totalsRowFunction="sum" dataDxfId="1126" totalsRowDxfId="1125"/>
    <tableColumn id="33" xr3:uid="{A569406F-56AF-4022-977C-6D02E55C4C9D}" name="FY53/54" totalsRowFunction="sum" dataDxfId="1124" totalsRowDxfId="1123"/>
    <tableColumn id="34" xr3:uid="{302CB4AB-0DD7-4CBF-9F82-5106F72E3C76}" name="FY54/55" totalsRowFunction="sum" dataDxfId="1122" totalsRowDxfId="1121"/>
    <tableColumn id="35" xr3:uid="{55754C31-E218-4B1F-8185-B139DC40427E}" name="FY55/56" totalsRowFunction="sum" dataDxfId="1120" totalsRowDxfId="1119"/>
    <tableColumn id="36" xr3:uid="{89595275-7C8F-4D63-9708-F60B836668A1}" name="FY56/57" totalsRowFunction="sum" dataDxfId="1118" totalsRowDxfId="1117"/>
    <tableColumn id="37" xr3:uid="{D0542F9C-569A-4781-BCCB-DB199D6B2BDA}" name="FY57/58" totalsRowFunction="sum" dataDxfId="1116" totalsRowDxfId="1115"/>
    <tableColumn id="38" xr3:uid="{214AEB91-AC59-48A7-83F1-0EE2EEF8B4C3}" name="FY58/59" totalsRowFunction="sum" dataDxfId="1114" totalsRowDxfId="1113"/>
    <tableColumn id="39" xr3:uid="{3CB3B85D-8F7F-41E0-9DFE-F88C16359407}" name="FY59/60" totalsRowFunction="sum" dataDxfId="1112" totalsRowDxfId="1111"/>
    <tableColumn id="41" xr3:uid="{25327FE4-A709-4253-97F7-A79FFF6034C0}" name="FY60/61" totalsRowFunction="sum" dataDxfId="1110" totalsRowDxfId="1109"/>
    <tableColumn id="42" xr3:uid="{5A69CA9F-8E24-48D8-8DCD-80C43519EFB2}" name="FY61/62" totalsRowFunction="sum" dataDxfId="1108" totalsRowDxfId="1107"/>
    <tableColumn id="43" xr3:uid="{4B8E652F-5E88-46C4-A570-ECB9671DCEB6}" name="FY62/63" totalsRowFunction="sum" dataDxfId="1106" totalsRowDxfId="1105"/>
    <tableColumn id="44" xr3:uid="{CB96AC47-73E8-4F0B-A740-CD8E96E4F47E}" name="FY63/64" totalsRowFunction="sum" dataDxfId="1104" totalsRowDxfId="1103"/>
    <tableColumn id="45" xr3:uid="{80A61231-C9DE-4AC2-AE3B-4DBC6324BC6F}" name="FY64/65" totalsRowFunction="sum" dataDxfId="1102" totalsRowDxfId="1101"/>
    <tableColumn id="46" xr3:uid="{852A8DA9-B839-42F5-94C2-9C6FA3FAE861}" name="FY65/66" totalsRowFunction="sum" dataDxfId="1100" totalsRowDxfId="1099"/>
    <tableColumn id="47" xr3:uid="{E579F412-638C-4515-A0A4-D9F599934EE9}" name="FY66/67" totalsRowFunction="sum" dataDxfId="1098" totalsRowDxfId="1097"/>
    <tableColumn id="48" xr3:uid="{8BD0C62B-3A60-4B96-A371-6C18A0624967}" name="FY67/68" totalsRowFunction="sum" dataDxfId="1096" totalsRowDxfId="1095"/>
    <tableColumn id="49" xr3:uid="{44EFD66E-0541-48D2-8DD7-3D596203C5D1}" name="FY68/69" totalsRowFunction="sum" dataDxfId="1094" totalsRowDxfId="1093"/>
    <tableColumn id="50" xr3:uid="{1F85F787-5987-4E76-9E70-9DF1057F1595}" name="FY69/70" totalsRowFunction="sum" dataDxfId="1092" totalsRowDxfId="1091"/>
    <tableColumn id="51" xr3:uid="{1B4484CA-38CC-4CFA-B28E-FB625CE786A5}" name="FY70/71" totalsRowFunction="sum" dataDxfId="1090" totalsRowDxfId="1089"/>
    <tableColumn id="52" xr3:uid="{FB8949BD-B9BF-4706-B328-5DD6ECCA5C6A}" name="FY71/72" totalsRowFunction="sum" dataDxfId="1088" totalsRowDxfId="1087"/>
    <tableColumn id="53" xr3:uid="{703646D2-CE7E-494B-AE80-3CE2EC95E56B}" name="FY72/73" totalsRowFunction="sum" dataDxfId="1086" totalsRowDxfId="1085"/>
    <tableColumn id="54" xr3:uid="{F7C2DAE6-E9EF-457D-ABE6-0BF47F766E9B}" name="FY73/74" totalsRowFunction="sum" dataDxfId="1084" totalsRowDxfId="1083"/>
    <tableColumn id="55" xr3:uid="{4A62E882-505B-466B-9DD9-3AF2A0F93613}" name="FY74/75" totalsRowFunction="sum" dataDxfId="1082" totalsRowDxfId="1081"/>
    <tableColumn id="56" xr3:uid="{7CCC487C-969D-42FB-93F5-D9713B26FF55}" name="FY75/76" totalsRowFunction="sum" dataDxfId="1080" totalsRowDxfId="1079"/>
    <tableColumn id="57" xr3:uid="{72795BEC-FB22-40C7-AE8B-9AE6B64410A8}" name="FY76/77" totalsRowFunction="sum" dataDxfId="1078" totalsRowDxfId="1077"/>
    <tableColumn id="58" xr3:uid="{98DBA3C5-8A89-425A-A3A6-396131D87994}" name="FY77/78" totalsRowFunction="sum" dataDxfId="1076" totalsRowDxfId="1075"/>
    <tableColumn id="59" xr3:uid="{C98B9676-BE3D-409E-91B9-5A63E115DD63}" name="FY78/79" totalsRowFunction="sum" dataDxfId="1074" totalsRowDxfId="1073"/>
    <tableColumn id="60" xr3:uid="{4F5FF13E-1CD3-41C1-8927-EFC4CAA111B6}" name="FY79/80" totalsRowFunction="sum" dataDxfId="1072" totalsRowDxfId="1071"/>
  </tableColumns>
  <tableStyleInfo name="Baseline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F785262-8196-478C-BACC-2D0498B0C307}" name="ProjTEm" displayName="ProjTEm" ref="B56:BI59" totalsRowCount="1" headerRowDxfId="1070" dataDxfId="1069" tableBorderDxfId="1068">
  <autoFilter ref="B56:BI58" xr:uid="{9F785262-8196-478C-BACC-2D0498B0C307}"/>
  <tableColumns count="60">
    <tableColumn id="1" xr3:uid="{062F1CB6-78BD-474D-82AE-E53C3F4407DD}" name="Item" totalsRowLabel="Total emissions - Project" dataDxfId="1067" totalsRowDxfId="1066"/>
    <tableColumn id="2" xr3:uid="{D8E65269-3C01-45B7-9729-D87024CB7D92}" name="Description" dataDxfId="1065" totalsRowDxfId="1064"/>
    <tableColumn id="3" xr3:uid="{E61DA7BD-76E5-4F8B-88B2-750D8D1C2279}" name="Unit" totalsRowLabel="tCO2-e" dataDxfId="1063" totalsRowDxfId="1062"/>
    <tableColumn id="4" xr3:uid="{EA98D0B9-CB80-4C48-AE7E-A60D1CA25CA6}" name="Source" totalsRowLabel="All" dataDxfId="1061" totalsRowDxfId="1060"/>
    <tableColumn id="40" xr3:uid="{A3072A4E-ED2F-48CC-88BD-5FDCB5DDFD5B}" name="FY24/25" totalsRowFunction="sum" dataDxfId="1059" totalsRowDxfId="1058"/>
    <tableColumn id="5" xr3:uid="{1154325D-8E5A-421D-8775-EBB14198BD1C}" name="FY25/26" totalsRowFunction="sum" dataDxfId="1057" totalsRowDxfId="1056"/>
    <tableColumn id="6" xr3:uid="{86BDAB7A-2FBF-499C-B934-FEB00CD767FE}" name="FY26/27" totalsRowFunction="sum" dataDxfId="1055" totalsRowDxfId="1054"/>
    <tableColumn id="7" xr3:uid="{EDFB7A11-2ECF-44BD-8C5A-20A6A75DF7B0}" name="FY27/28" totalsRowFunction="sum" dataDxfId="1053" totalsRowDxfId="1052"/>
    <tableColumn id="8" xr3:uid="{68A20141-3934-4F48-90E4-AAC2E3B2A3AC}" name="FY28/29" totalsRowFunction="sum" dataDxfId="1051" totalsRowDxfId="1050"/>
    <tableColumn id="9" xr3:uid="{F86A6913-269B-4011-99E4-8F9AD48083F6}" name="FY29/30" totalsRowFunction="sum" dataDxfId="1049" totalsRowDxfId="1048"/>
    <tableColumn id="10" xr3:uid="{964E51AC-D9AD-4632-AFA3-0F38C574B25A}" name="FY30/31" totalsRowFunction="sum" dataDxfId="1047" totalsRowDxfId="1046"/>
    <tableColumn id="11" xr3:uid="{7C889CA3-FFAF-45A6-8435-5AC64DDF72FA}" name="FY31/32" totalsRowFunction="sum" dataDxfId="1045" totalsRowDxfId="1044"/>
    <tableColumn id="12" xr3:uid="{1B5C54E9-E21A-4102-BBB9-275FAB5E8AE0}" name="FY32/33" totalsRowFunction="sum" dataDxfId="1043" totalsRowDxfId="1042"/>
    <tableColumn id="13" xr3:uid="{784598BA-B5D6-410D-97A6-0CE47FF6292B}" name="FY33/34" totalsRowFunction="sum" dataDxfId="1041" totalsRowDxfId="1040"/>
    <tableColumn id="14" xr3:uid="{07D05B6F-EB13-4F84-A137-73E8A4998CE3}" name="FY34/35" totalsRowFunction="sum" dataDxfId="1039" totalsRowDxfId="1038"/>
    <tableColumn id="15" xr3:uid="{EE61851C-FD64-4CBF-8395-401F19CE4C4E}" name="FY35/36" totalsRowFunction="sum" dataDxfId="1037" totalsRowDxfId="1036"/>
    <tableColumn id="16" xr3:uid="{2513A745-374F-4348-B539-188399857BFF}" name="FY36/37" totalsRowFunction="sum" dataDxfId="1035" totalsRowDxfId="1034"/>
    <tableColumn id="17" xr3:uid="{BC718262-7C2B-47C4-BB51-9354A70EC8F3}" name="FY37/38" totalsRowFunction="sum" dataDxfId="1033" totalsRowDxfId="1032"/>
    <tableColumn id="18" xr3:uid="{64B3C120-6E20-4AFC-AC2E-80EF5996E71E}" name="FY38/39" totalsRowFunction="sum" dataDxfId="1031" totalsRowDxfId="1030"/>
    <tableColumn id="19" xr3:uid="{4BB3B28B-C58C-4F64-8F5F-2FB96C6401B5}" name="FY39/40" totalsRowFunction="sum" dataDxfId="1029" totalsRowDxfId="1028"/>
    <tableColumn id="20" xr3:uid="{5F5F55BE-71F0-4474-91C1-31913756996A}" name="FY40/41" totalsRowFunction="sum" dataDxfId="1027" totalsRowDxfId="1026"/>
    <tableColumn id="21" xr3:uid="{9E4DAD3C-2287-4D54-9982-F81F02304733}" name="FY41/42" totalsRowFunction="sum" dataDxfId="1025" totalsRowDxfId="1024"/>
    <tableColumn id="22" xr3:uid="{4AD053FE-AE5A-4C63-9654-0C6CE63B2F2B}" name="FY42/43" totalsRowFunction="sum" dataDxfId="1023" totalsRowDxfId="1022"/>
    <tableColumn id="23" xr3:uid="{CB1E0D28-93D9-44EC-8255-3E191D9344EE}" name="FY43/44" totalsRowFunction="sum" dataDxfId="1021" totalsRowDxfId="1020"/>
    <tableColumn id="24" xr3:uid="{F36732FF-986B-44CC-B6E4-AD99BEEE85C1}" name="FY44/45" totalsRowFunction="sum" dataDxfId="1019" totalsRowDxfId="1018"/>
    <tableColumn id="25" xr3:uid="{BDCC83F0-2E2B-48FD-B97D-4D0E62D4B759}" name="FY45/46" totalsRowFunction="sum" dataDxfId="1017" totalsRowDxfId="1016"/>
    <tableColumn id="26" xr3:uid="{8421E012-3877-457E-A43F-F378BF2B8DBD}" name="FY46/47" totalsRowFunction="sum" dataDxfId="1015" totalsRowDxfId="1014"/>
    <tableColumn id="27" xr3:uid="{6F179017-850E-4CAA-B1FA-99993C9CE7F9}" name="FY47/48" totalsRowFunction="sum" dataDxfId="1013" totalsRowDxfId="1012"/>
    <tableColumn id="28" xr3:uid="{EA073D2E-EA02-419B-AA90-CBD657E2CCBC}" name="FY48/49" totalsRowFunction="sum" dataDxfId="1011" totalsRowDxfId="1010"/>
    <tableColumn id="29" xr3:uid="{B7E0D80D-5EB2-42ED-8BD3-9EEA3F9CCF78}" name="FY49/50" totalsRowFunction="sum" dataDxfId="1009" totalsRowDxfId="1008"/>
    <tableColumn id="30" xr3:uid="{1522B13C-91D7-4063-8727-AD64B86C890B}" name="FY50/51" totalsRowFunction="sum" dataDxfId="1007" totalsRowDxfId="1006"/>
    <tableColumn id="31" xr3:uid="{4A0D4500-E57F-43FF-9A55-ED73D6B29314}" name="FY51/52" totalsRowFunction="sum" dataDxfId="1005" totalsRowDxfId="1004"/>
    <tableColumn id="32" xr3:uid="{4241D641-FB13-4DB7-B7AB-0A87527A3756}" name="FY52/53" totalsRowFunction="sum" dataDxfId="1003" totalsRowDxfId="1002"/>
    <tableColumn id="33" xr3:uid="{AC6C20A8-0E81-42E8-8B4C-203FF0B43DFC}" name="FY53/54" totalsRowFunction="sum" dataDxfId="1001" totalsRowDxfId="1000"/>
    <tableColumn id="34" xr3:uid="{F5C8555A-CA38-416E-AFAD-DE2BE12B7519}" name="FY54/55" totalsRowFunction="sum" dataDxfId="999" totalsRowDxfId="998"/>
    <tableColumn id="35" xr3:uid="{9D9F7371-CF0A-4F75-80D7-D24A2EF4C274}" name="FY55/56" totalsRowFunction="sum" dataDxfId="997" totalsRowDxfId="996"/>
    <tableColumn id="36" xr3:uid="{12B2632B-11A3-492E-8B85-28830AAFA0E6}" name="FY56/57" totalsRowFunction="sum" dataDxfId="995" totalsRowDxfId="994"/>
    <tableColumn id="37" xr3:uid="{04EB1E30-AB13-43DA-9529-55EFC4270F47}" name="FY57/58" totalsRowFunction="sum" dataDxfId="993" totalsRowDxfId="992"/>
    <tableColumn id="38" xr3:uid="{AA874345-E49C-47C0-96D2-B3D0F4F2484B}" name="FY58/59" totalsRowFunction="sum" dataDxfId="991" totalsRowDxfId="990"/>
    <tableColumn id="39" xr3:uid="{2098F9C0-C49C-4A9A-9A6E-1419FE0AF06E}" name="FY59/60" totalsRowFunction="sum" dataDxfId="989" totalsRowDxfId="988"/>
    <tableColumn id="41" xr3:uid="{FE1B7426-3D16-4BB9-9D00-A38025B4E14F}" name="FY60/61" totalsRowFunction="sum" dataDxfId="987" totalsRowDxfId="986"/>
    <tableColumn id="42" xr3:uid="{A72CBDB9-5793-41A4-BE8E-8F10B0A0156E}" name="FY61/62" totalsRowFunction="sum" dataDxfId="985" totalsRowDxfId="984"/>
    <tableColumn id="43" xr3:uid="{0CA0866C-C6EB-4F34-8E92-3246753A3CE3}" name="FY62/63" totalsRowFunction="sum" dataDxfId="983" totalsRowDxfId="982"/>
    <tableColumn id="44" xr3:uid="{163DD7E1-9D07-4FCB-94BE-C6B8B222ECDA}" name="FY63/64" totalsRowFunction="sum" dataDxfId="981" totalsRowDxfId="980"/>
    <tableColumn id="45" xr3:uid="{D146177F-743E-4CAE-8884-67EA2CFFA04F}" name="FY64/65" totalsRowFunction="sum" dataDxfId="979" totalsRowDxfId="978"/>
    <tableColumn id="46" xr3:uid="{83319CEA-565C-424F-9209-FD6CF0C85431}" name="FY65/66" totalsRowFunction="sum" dataDxfId="977" totalsRowDxfId="976"/>
    <tableColumn id="47" xr3:uid="{C951D893-1080-496A-9856-E7366FC32BEA}" name="FY66/67" totalsRowFunction="sum" dataDxfId="975" totalsRowDxfId="974"/>
    <tableColumn id="48" xr3:uid="{9A463AF7-0F60-439B-BC79-65531446A38C}" name="FY67/68" totalsRowFunction="sum" dataDxfId="973" totalsRowDxfId="972"/>
    <tableColumn id="49" xr3:uid="{0F5D4CC7-2E71-4EF7-BA1F-AA9202213265}" name="FY68/69" totalsRowFunction="sum" dataDxfId="971" totalsRowDxfId="970"/>
    <tableColumn id="50" xr3:uid="{33B9FBCE-257C-400E-B768-CC5404A6C4A9}" name="FY69/70" totalsRowFunction="sum" dataDxfId="969" totalsRowDxfId="968"/>
    <tableColumn id="51" xr3:uid="{73A576E8-B40B-49F7-85D7-6DBB6F747227}" name="FY70/71" totalsRowFunction="sum" dataDxfId="967" totalsRowDxfId="966"/>
    <tableColumn id="52" xr3:uid="{5C2678BA-7EF3-4FC4-9986-2441FC0D8204}" name="FY71/72" totalsRowFunction="sum" dataDxfId="965" totalsRowDxfId="964"/>
    <tableColumn id="53" xr3:uid="{EE88C435-7B90-4BA0-BB2B-811049C3A9FE}" name="FY72/73" totalsRowFunction="sum" dataDxfId="963" totalsRowDxfId="962"/>
    <tableColumn id="54" xr3:uid="{05F500DA-700A-4573-A68D-EA4C406F2413}" name="FY73/74" totalsRowFunction="sum" dataDxfId="961" totalsRowDxfId="960"/>
    <tableColumn id="55" xr3:uid="{99594837-F990-48FF-B5C9-E5D52D022D55}" name="FY74/75" totalsRowFunction="sum" dataDxfId="959" totalsRowDxfId="958"/>
    <tableColumn id="56" xr3:uid="{7949EB84-D6A6-46B2-8CD7-B48054F13E10}" name="FY75/76" totalsRowFunction="sum" dataDxfId="957" totalsRowDxfId="956"/>
    <tableColumn id="57" xr3:uid="{DF94DC7E-0C80-42EA-AFDB-4E7C4EA6C884}" name="FY76/77" totalsRowFunction="sum" dataDxfId="955" totalsRowDxfId="954"/>
    <tableColumn id="58" xr3:uid="{BDCC947A-65EC-4B59-9F27-658AB81AF2DD}" name="FY77/78" totalsRowFunction="sum" dataDxfId="953" totalsRowDxfId="952"/>
    <tableColumn id="59" xr3:uid="{E8E512DD-D51B-4A1C-A085-12AE9CDBBAD1}" name="FY78/79" totalsRowFunction="sum" dataDxfId="951" totalsRowDxfId="950"/>
    <tableColumn id="60" xr3:uid="{5CF54622-B342-45B4-8676-8B45B7828B1A}" name="FY79/80" totalsRowFunction="sum" dataDxfId="949" totalsRowDxfId="948"/>
  </tableColumns>
  <tableStyleInfo name="Project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FBAAD99B-F955-4BF0-B513-217C4153FC17}" name="ProjAbate" displayName="ProjAbate" ref="B64:BI67" totalsRowCount="1" headerRowDxfId="947" dataDxfId="946" tableBorderDxfId="945">
  <autoFilter ref="B64:BI66" xr:uid="{FBAAD99B-F955-4BF0-B513-217C4153FC17}"/>
  <tableColumns count="60">
    <tableColumn id="1" xr3:uid="{FC263D0C-D81F-4636-9AFD-DE7D4206B825}" name="Item" totalsRowLabel="Total scope 1 and 2 abatement" dataDxfId="944" totalsRowDxfId="943"/>
    <tableColumn id="2" xr3:uid="{86C5FBA1-DCC9-44BE-B6FE-00095BE6079F}" name="Description" dataDxfId="942" totalsRowDxfId="941"/>
    <tableColumn id="3" xr3:uid="{7CF30A41-F89B-4A7E-B45B-8BB31309E15E}" name="Unit" totalsRowLabel="tCO2-e" dataDxfId="940" totalsRowDxfId="939"/>
    <tableColumn id="4" xr3:uid="{6DFCCFF2-0EA5-4652-B017-4F61962DEA45}" name="Source" totalsRowLabel="All" dataDxfId="938" totalsRowDxfId="937"/>
    <tableColumn id="40" xr3:uid="{79EC63DC-FC9F-46A5-B7D7-13D7441D59AC}" name="FY24/25" totalsRowFunction="sum" dataDxfId="936" totalsRowDxfId="935">
      <calculatedColumnFormula>F$51-F$57</calculatedColumnFormula>
    </tableColumn>
    <tableColumn id="5" xr3:uid="{7616CFA4-1F2F-4B73-A1A1-48F4880DBCB3}" name="FY25/26" totalsRowFunction="sum" dataDxfId="934" totalsRowDxfId="933"/>
    <tableColumn id="6" xr3:uid="{D4A7B7B3-E4EA-469D-9867-BE86E636D535}" name="FY26/27" totalsRowFunction="sum" dataDxfId="932" totalsRowDxfId="931"/>
    <tableColumn id="7" xr3:uid="{429C2669-5B2D-4E51-A90E-7B11DF5AC29E}" name="FY27/28" totalsRowFunction="sum" dataDxfId="930" totalsRowDxfId="929"/>
    <tableColumn id="8" xr3:uid="{CCCE5E30-63AF-4FBD-914C-D94E986A53BA}" name="FY28/29" totalsRowFunction="sum" dataDxfId="928" totalsRowDxfId="927"/>
    <tableColumn id="9" xr3:uid="{06A43E59-F34E-4652-90D2-BC3BC5C6125F}" name="FY29/30" totalsRowFunction="sum" dataDxfId="926" totalsRowDxfId="925"/>
    <tableColumn id="10" xr3:uid="{AB3253E3-B8EF-4C9E-A405-51CA3E8D7CB7}" name="FY30/31" totalsRowFunction="sum" dataDxfId="924" totalsRowDxfId="923"/>
    <tableColumn id="11" xr3:uid="{C5B476EB-B00B-4160-8E4D-7D825498A4FD}" name="FY31/32" totalsRowFunction="sum" dataDxfId="922" totalsRowDxfId="921"/>
    <tableColumn id="12" xr3:uid="{D2308214-5F91-43E1-B009-E7D8BB47A106}" name="FY32/33" totalsRowFunction="sum" dataDxfId="920" totalsRowDxfId="919"/>
    <tableColumn id="13" xr3:uid="{7479D1A1-854F-4F11-9E39-C9CA0F50AAD3}" name="FY33/34" totalsRowFunction="sum" dataDxfId="918" totalsRowDxfId="917"/>
    <tableColumn id="14" xr3:uid="{B1C7A818-A018-4175-BB4D-AB8A0F569CD7}" name="FY34/35" totalsRowFunction="sum" dataDxfId="916" totalsRowDxfId="915"/>
    <tableColumn id="15" xr3:uid="{87483B53-62E6-4240-8572-FE6E3AF07C69}" name="FY35/36" totalsRowFunction="sum" dataDxfId="914" totalsRowDxfId="913"/>
    <tableColumn id="16" xr3:uid="{D46E1B8A-EA46-4DE5-B38C-A1F3A2D9EE18}" name="FY36/37" totalsRowFunction="sum" dataDxfId="912" totalsRowDxfId="911"/>
    <tableColumn id="17" xr3:uid="{38778EBE-421B-40D1-BCDB-9B1C12B94AC1}" name="FY37/38" totalsRowFunction="sum" dataDxfId="910" totalsRowDxfId="909"/>
    <tableColumn id="18" xr3:uid="{1A539276-B75E-48E0-9782-539152D940A5}" name="FY38/39" totalsRowFunction="sum" dataDxfId="908" totalsRowDxfId="907"/>
    <tableColumn id="19" xr3:uid="{2442BD8E-F743-4F59-9286-DB9007EC002D}" name="FY39/40" totalsRowFunction="sum" dataDxfId="906" totalsRowDxfId="905"/>
    <tableColumn id="20" xr3:uid="{E86588C3-4823-4C0A-B5A1-5B1F232290AD}" name="FY40/41" totalsRowFunction="sum" dataDxfId="904" totalsRowDxfId="903"/>
    <tableColumn id="21" xr3:uid="{7BEF65E1-8C52-4C90-A012-C6509894CBFC}" name="FY41/42" totalsRowFunction="sum" dataDxfId="902" totalsRowDxfId="901"/>
    <tableColumn id="22" xr3:uid="{D44C67B8-B3A5-4920-B157-40B316E38FA3}" name="FY42/43" totalsRowFunction="sum" dataDxfId="900" totalsRowDxfId="899"/>
    <tableColumn id="23" xr3:uid="{D576F16A-3DD3-4617-90C7-D3C2D7C9AC14}" name="FY43/44" totalsRowFunction="sum" dataDxfId="898" totalsRowDxfId="897"/>
    <tableColumn id="24" xr3:uid="{F80F3524-16D4-4946-B9F8-43112EB84717}" name="FY44/45" totalsRowFunction="sum" dataDxfId="896" totalsRowDxfId="895"/>
    <tableColumn id="25" xr3:uid="{A2104180-B46A-4E86-B650-0FACBEFCE80A}" name="FY45/46" totalsRowFunction="sum" dataDxfId="894" totalsRowDxfId="893"/>
    <tableColumn id="26" xr3:uid="{1095D6FF-D300-4628-A641-F4C134861F8D}" name="FY46/47" totalsRowFunction="sum" dataDxfId="892" totalsRowDxfId="891"/>
    <tableColumn id="27" xr3:uid="{978DDD3A-DBC0-4766-9686-E5F4D12B2CD4}" name="FY47/48" totalsRowFunction="sum" dataDxfId="890" totalsRowDxfId="889"/>
    <tableColumn id="28" xr3:uid="{4F4C05A6-29E9-445C-86B4-75AD0F898CA0}" name="FY48/49" totalsRowFunction="sum" dataDxfId="888" totalsRowDxfId="887"/>
    <tableColumn id="29" xr3:uid="{82176698-D870-4BDD-A22E-7217B26EC4A6}" name="FY49/50" totalsRowFunction="sum" dataDxfId="886" totalsRowDxfId="885"/>
    <tableColumn id="30" xr3:uid="{96A61849-3491-4153-9AAA-7A974BCCC1C9}" name="FY50/51" totalsRowFunction="sum" dataDxfId="884" totalsRowDxfId="883"/>
    <tableColumn id="31" xr3:uid="{EF71ED65-B2FD-442E-8BDD-46C4CF9CD780}" name="FY51/52" totalsRowFunction="sum" dataDxfId="882" totalsRowDxfId="881"/>
    <tableColumn id="32" xr3:uid="{DF18B3EA-CF61-47E5-9460-B2A36A1AB708}" name="FY52/53" totalsRowFunction="sum" dataDxfId="880" totalsRowDxfId="879"/>
    <tableColumn id="33" xr3:uid="{411261A3-EE42-4BFE-9D91-B70434BE7ABB}" name="FY53/54" totalsRowFunction="sum" dataDxfId="878" totalsRowDxfId="877"/>
    <tableColumn id="34" xr3:uid="{948E6226-1CBB-4249-8875-298EC16C4F72}" name="FY54/55" totalsRowFunction="sum" dataDxfId="876" totalsRowDxfId="875"/>
    <tableColumn id="35" xr3:uid="{9FF944DD-E1B1-4863-83C4-68A7916E33B8}" name="FY55/56" totalsRowFunction="sum" dataDxfId="874" totalsRowDxfId="873"/>
    <tableColumn id="36" xr3:uid="{EC59D039-4930-4F05-8576-6FBBA8B25AEB}" name="FY56/57" totalsRowFunction="sum" dataDxfId="872" totalsRowDxfId="871"/>
    <tableColumn id="37" xr3:uid="{8B840CAF-370B-4E0C-AB4A-DA88DD293699}" name="FY57/58" totalsRowFunction="sum" dataDxfId="870" totalsRowDxfId="869"/>
    <tableColumn id="38" xr3:uid="{6516AD41-9037-40DD-8A49-1E7F653AC2CE}" name="FY58/59" totalsRowFunction="sum" dataDxfId="868" totalsRowDxfId="867"/>
    <tableColumn id="39" xr3:uid="{84EC6ACB-9C7B-48CB-B1DD-19052CA99FC1}" name="FY59/60" totalsRowFunction="sum" dataDxfId="866" totalsRowDxfId="865"/>
    <tableColumn id="41" xr3:uid="{81F5FB65-5495-4338-AA49-FA5E927BB21C}" name="FY60/61" totalsRowFunction="sum" dataDxfId="864" totalsRowDxfId="863"/>
    <tableColumn id="42" xr3:uid="{A098A19A-03EF-41A1-B4F1-FA663007D820}" name="FY61/62" totalsRowFunction="sum" dataDxfId="862" totalsRowDxfId="861"/>
    <tableColumn id="43" xr3:uid="{18F80E60-BE27-4A59-A95F-3CE64B806746}" name="FY62/63" totalsRowFunction="sum" dataDxfId="860" totalsRowDxfId="859"/>
    <tableColumn id="44" xr3:uid="{7B67B959-1416-437F-93AF-E2786F1EA7EB}" name="FY63/64" totalsRowFunction="sum" dataDxfId="858" totalsRowDxfId="857"/>
    <tableColumn id="45" xr3:uid="{092B0467-1588-43D1-A80E-551F0BBD7B86}" name="FY64/65" totalsRowFunction="sum" dataDxfId="856" totalsRowDxfId="855"/>
    <tableColumn id="46" xr3:uid="{4F47A537-0567-43FE-A29D-54E66D29DD7E}" name="FY65/66" totalsRowFunction="sum" dataDxfId="854" totalsRowDxfId="853"/>
    <tableColumn id="47" xr3:uid="{26BBF7D6-BDF1-4702-8D10-37E3B6F42D3C}" name="FY66/67" totalsRowFunction="sum" dataDxfId="852" totalsRowDxfId="851"/>
    <tableColumn id="48" xr3:uid="{2ABB1E79-1958-4A55-9F25-66303D93B334}" name="FY67/68" totalsRowFunction="sum" dataDxfId="850" totalsRowDxfId="849"/>
    <tableColumn id="49" xr3:uid="{5BE09746-4774-4BD3-8535-A47D8C016FE9}" name="FY68/69" totalsRowFunction="sum" dataDxfId="848" totalsRowDxfId="847"/>
    <tableColumn id="50" xr3:uid="{A53EA324-4D48-4A55-9825-815F780F91B3}" name="FY69/70" totalsRowFunction="sum" dataDxfId="846" totalsRowDxfId="845"/>
    <tableColumn id="51" xr3:uid="{650CB235-AFAE-4140-840F-D55F9588038E}" name="FY70/71" totalsRowFunction="sum" dataDxfId="844" totalsRowDxfId="843">
      <calculatedColumnFormula>AZ$52-AZ$58</calculatedColumnFormula>
    </tableColumn>
    <tableColumn id="52" xr3:uid="{E997A671-13BA-454C-90EF-E3CAC22EC03C}" name="FY71/72" totalsRowFunction="sum" dataDxfId="842" totalsRowDxfId="841">
      <calculatedColumnFormula>BA$52-BA$58</calculatedColumnFormula>
    </tableColumn>
    <tableColumn id="53" xr3:uid="{6A70CE94-FCCE-42D8-9A82-5AFCFEDF3615}" name="FY72/73" totalsRowFunction="sum" dataDxfId="840" totalsRowDxfId="839">
      <calculatedColumnFormula>BB$52-BB$58</calculatedColumnFormula>
    </tableColumn>
    <tableColumn id="54" xr3:uid="{3E352F79-1741-4B33-9A70-2160CB620D9D}" name="FY73/74" totalsRowFunction="sum" dataDxfId="838" totalsRowDxfId="837">
      <calculatedColumnFormula>BC$52-BC$58</calculatedColumnFormula>
    </tableColumn>
    <tableColumn id="55" xr3:uid="{9A145F4B-FEB7-406A-A1A0-25CB483720A8}" name="FY74/75" totalsRowFunction="sum" dataDxfId="836" totalsRowDxfId="835">
      <calculatedColumnFormula>BD$52-BD$58</calculatedColumnFormula>
    </tableColumn>
    <tableColumn id="56" xr3:uid="{74849C07-079F-48DF-8BCB-FA54C24A3EE5}" name="FY75/76" totalsRowFunction="sum" dataDxfId="834" totalsRowDxfId="833">
      <calculatedColumnFormula>BE$52-BE$58</calculatedColumnFormula>
    </tableColumn>
    <tableColumn id="57" xr3:uid="{95A82D54-90EF-4501-B62C-9A4BD94245F4}" name="FY76/77" totalsRowFunction="sum" dataDxfId="832" totalsRowDxfId="831">
      <calculatedColumnFormula>BF$52-BF$58</calculatedColumnFormula>
    </tableColumn>
    <tableColumn id="58" xr3:uid="{35D215E6-D15C-4C11-83EC-4FE62D8A6F3E}" name="FY77/78" totalsRowFunction="sum" dataDxfId="830" totalsRowDxfId="829">
      <calculatedColumnFormula>BG$52-BG$58</calculatedColumnFormula>
    </tableColumn>
    <tableColumn id="59" xr3:uid="{ECDD113E-CCD2-4FB3-861A-E968F02E35DD}" name="FY78/79" totalsRowFunction="sum" dataDxfId="828" totalsRowDxfId="827">
      <calculatedColumnFormula>BH$52-BH$58</calculatedColumnFormula>
    </tableColumn>
    <tableColumn id="60" xr3:uid="{7684658D-CB86-467E-93F4-61D92F63255E}" name="FY79/80" totalsRowFunction="sum" dataDxfId="826" totalsRowDxfId="825">
      <calculatedColumnFormula>BI$52-BI$58</calculatedColumnFormula>
    </tableColumn>
  </tableColumns>
  <tableStyleInfo name="Calculations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hyperlink" Target="https://www.ey.com/en_au/insights/sustainability/australia-s-carbon-market-is-changing-gears-are-you-ready" TargetMode="External"/><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hyperlink" Target="https://www.ey.com/en_au/insights/sustainability/australia-s-carbon-market-is-changing-gears-are-you-ready" TargetMode="Externa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23FE3-0232-41D2-9472-351AC7B3C24E}">
  <sheetPr>
    <tabColor theme="5" tint="0.79998168889431442"/>
  </sheetPr>
  <dimension ref="B2:B59"/>
  <sheetViews>
    <sheetView showGridLines="0" tabSelected="1" zoomScaleNormal="100" workbookViewId="0"/>
  </sheetViews>
  <sheetFormatPr defaultColWidth="8.88671875" defaultRowHeight="14.4" x14ac:dyDescent="0.3"/>
  <cols>
    <col min="1" max="1" width="2.6640625" style="2" customWidth="1"/>
    <col min="2" max="16384" width="8.88671875" style="2"/>
  </cols>
  <sheetData>
    <row r="2" spans="2:2" x14ac:dyDescent="0.3">
      <c r="B2" s="3"/>
    </row>
    <row r="3" spans="2:2" x14ac:dyDescent="0.3">
      <c r="B3" s="3"/>
    </row>
    <row r="4" spans="2:2" x14ac:dyDescent="0.3">
      <c r="B4" s="3"/>
    </row>
    <row r="5" spans="2:2" x14ac:dyDescent="0.3">
      <c r="B5" s="3"/>
    </row>
    <row r="6" spans="2:2" ht="19.8" x14ac:dyDescent="0.3">
      <c r="B6" s="14" t="s">
        <v>0</v>
      </c>
    </row>
    <row r="7" spans="2:2" ht="15.6" x14ac:dyDescent="0.3">
      <c r="B7" s="1" t="s">
        <v>1</v>
      </c>
    </row>
    <row r="8" spans="2:2" x14ac:dyDescent="0.3">
      <c r="B8" s="3"/>
    </row>
    <row r="9" spans="2:2" x14ac:dyDescent="0.3">
      <c r="B9" s="3" t="s">
        <v>2</v>
      </c>
    </row>
    <row r="10" spans="2:2" x14ac:dyDescent="0.3">
      <c r="B10" s="3"/>
    </row>
    <row r="11" spans="2:2" x14ac:dyDescent="0.3">
      <c r="B11" s="3" t="s">
        <v>3</v>
      </c>
    </row>
    <row r="12" spans="2:2" x14ac:dyDescent="0.3">
      <c r="B12" s="3" t="s">
        <v>4</v>
      </c>
    </row>
    <row r="13" spans="2:2" x14ac:dyDescent="0.3">
      <c r="B13" s="3" t="s">
        <v>5</v>
      </c>
    </row>
    <row r="14" spans="2:2" x14ac:dyDescent="0.3">
      <c r="B14" s="3"/>
    </row>
    <row r="15" spans="2:2" x14ac:dyDescent="0.3">
      <c r="B15" s="3" t="s">
        <v>6</v>
      </c>
    </row>
    <row r="16" spans="2:2" x14ac:dyDescent="0.3">
      <c r="B16" s="3"/>
    </row>
    <row r="17" spans="2:2" ht="15.6" x14ac:dyDescent="0.3">
      <c r="B17" s="1" t="s">
        <v>7</v>
      </c>
    </row>
    <row r="18" spans="2:2" x14ac:dyDescent="0.3">
      <c r="B18" s="3" t="s">
        <v>8</v>
      </c>
    </row>
    <row r="19" spans="2:2" x14ac:dyDescent="0.3">
      <c r="B19" s="3" t="s">
        <v>9</v>
      </c>
    </row>
    <row r="20" spans="2:2" x14ac:dyDescent="0.3">
      <c r="B20" s="3" t="s">
        <v>10</v>
      </c>
    </row>
    <row r="21" spans="2:2" x14ac:dyDescent="0.3">
      <c r="B21" s="3" t="s">
        <v>11</v>
      </c>
    </row>
    <row r="22" spans="2:2" x14ac:dyDescent="0.3">
      <c r="B22" s="3" t="s">
        <v>12</v>
      </c>
    </row>
    <row r="23" spans="2:2" x14ac:dyDescent="0.3">
      <c r="B23" s="3" t="s">
        <v>13</v>
      </c>
    </row>
    <row r="24" spans="2:2" x14ac:dyDescent="0.3">
      <c r="B24" s="3"/>
    </row>
    <row r="25" spans="2:2" ht="15.6" x14ac:dyDescent="0.3">
      <c r="B25" s="1" t="s">
        <v>14</v>
      </c>
    </row>
    <row r="26" spans="2:2" x14ac:dyDescent="0.3">
      <c r="B26" s="10" t="s">
        <v>15</v>
      </c>
    </row>
    <row r="27" spans="2:2" x14ac:dyDescent="0.3">
      <c r="B27" s="3" t="s">
        <v>16</v>
      </c>
    </row>
    <row r="28" spans="2:2" x14ac:dyDescent="0.3">
      <c r="B28" s="3"/>
    </row>
    <row r="29" spans="2:2" x14ac:dyDescent="0.3">
      <c r="B29" s="10" t="s">
        <v>17</v>
      </c>
    </row>
    <row r="30" spans="2:2" x14ac:dyDescent="0.3">
      <c r="B30" s="3" t="s">
        <v>18</v>
      </c>
    </row>
    <row r="31" spans="2:2" x14ac:dyDescent="0.3">
      <c r="B31" s="3" t="s">
        <v>19</v>
      </c>
    </row>
    <row r="32" spans="2:2" x14ac:dyDescent="0.3">
      <c r="B32" s="3" t="s">
        <v>20</v>
      </c>
    </row>
    <row r="33" spans="2:2" x14ac:dyDescent="0.3">
      <c r="B33" s="3"/>
    </row>
    <row r="34" spans="2:2" x14ac:dyDescent="0.3">
      <c r="B34" s="10" t="s">
        <v>21</v>
      </c>
    </row>
    <row r="35" spans="2:2" x14ac:dyDescent="0.3">
      <c r="B35" s="3" t="s">
        <v>22</v>
      </c>
    </row>
    <row r="36" spans="2:2" x14ac:dyDescent="0.3">
      <c r="B36" s="3" t="s">
        <v>23</v>
      </c>
    </row>
    <row r="37" spans="2:2" x14ac:dyDescent="0.3">
      <c r="B37" s="21" t="s">
        <v>24</v>
      </c>
    </row>
    <row r="38" spans="2:2" x14ac:dyDescent="0.3">
      <c r="B38" s="3"/>
    </row>
    <row r="39" spans="2:2" x14ac:dyDescent="0.3">
      <c r="B39" s="10" t="s">
        <v>25</v>
      </c>
    </row>
    <row r="40" spans="2:2" x14ac:dyDescent="0.3">
      <c r="B40" s="3" t="s">
        <v>26</v>
      </c>
    </row>
    <row r="41" spans="2:2" x14ac:dyDescent="0.3">
      <c r="B41" s="3" t="s">
        <v>27</v>
      </c>
    </row>
    <row r="42" spans="2:2" x14ac:dyDescent="0.3">
      <c r="B42" s="3"/>
    </row>
    <row r="43" spans="2:2" x14ac:dyDescent="0.3">
      <c r="B43" s="10" t="s">
        <v>28</v>
      </c>
    </row>
    <row r="44" spans="2:2" x14ac:dyDescent="0.3">
      <c r="B44" s="3" t="s">
        <v>29</v>
      </c>
    </row>
    <row r="45" spans="2:2" x14ac:dyDescent="0.3">
      <c r="B45" s="3"/>
    </row>
    <row r="46" spans="2:2" x14ac:dyDescent="0.3">
      <c r="B46" s="10" t="s">
        <v>30</v>
      </c>
    </row>
    <row r="47" spans="2:2" x14ac:dyDescent="0.3">
      <c r="B47" s="3" t="s">
        <v>31</v>
      </c>
    </row>
    <row r="48" spans="2:2" x14ac:dyDescent="0.3">
      <c r="B48" s="3"/>
    </row>
    <row r="49" spans="2:2" x14ac:dyDescent="0.3">
      <c r="B49" s="10" t="s">
        <v>32</v>
      </c>
    </row>
    <row r="50" spans="2:2" s="3" customFormat="1" x14ac:dyDescent="0.3">
      <c r="B50" s="3" t="s">
        <v>33</v>
      </c>
    </row>
    <row r="51" spans="2:2" x14ac:dyDescent="0.3">
      <c r="B51" s="3"/>
    </row>
    <row r="52" spans="2:2" x14ac:dyDescent="0.3">
      <c r="B52" s="10" t="s">
        <v>34</v>
      </c>
    </row>
    <row r="53" spans="2:2" x14ac:dyDescent="0.3">
      <c r="B53" s="3" t="s">
        <v>35</v>
      </c>
    </row>
    <row r="55" spans="2:2" x14ac:dyDescent="0.3">
      <c r="B55" s="10" t="s">
        <v>36</v>
      </c>
    </row>
    <row r="56" spans="2:2" x14ac:dyDescent="0.3">
      <c r="B56" s="3" t="s">
        <v>37</v>
      </c>
    </row>
    <row r="57" spans="2:2" x14ac:dyDescent="0.3">
      <c r="B57" s="3" t="s">
        <v>38</v>
      </c>
    </row>
    <row r="58" spans="2:2" x14ac:dyDescent="0.3">
      <c r="B58" s="3" t="s">
        <v>39</v>
      </c>
    </row>
    <row r="59" spans="2:2" x14ac:dyDescent="0.3">
      <c r="B59" s="21"/>
    </row>
  </sheetData>
  <sheetProtection algorithmName="SHA-512" hashValue="1pRfzUE1Aim3lhwerGCbYOFzpU8vXMO0QzsukObF/6i7MrcBbWZYwor/XykWeFZKEiRSKe9Yc6slYFJ9E5eqdw==" saltValue="lLmgWroBVbQEM1DwSwjRYQ==" spinCount="100000" sheet="1" selectLockedCell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3580-9C28-443A-ACA1-C4A37DB11223}">
  <sheetPr>
    <tabColor rgb="FFFAFAC0"/>
  </sheetPr>
  <dimension ref="B2:BI78"/>
  <sheetViews>
    <sheetView showGridLines="0" zoomScaleNormal="100" workbookViewId="0">
      <selection activeCell="C2" sqref="C2"/>
    </sheetView>
  </sheetViews>
  <sheetFormatPr defaultColWidth="8.88671875" defaultRowHeight="14.4" x14ac:dyDescent="0.3"/>
  <cols>
    <col min="1" max="1" width="2.6640625" style="2" customWidth="1"/>
    <col min="2" max="2" width="38.6640625" style="2" customWidth="1"/>
    <col min="3" max="3" width="37.109375" style="2" bestFit="1" customWidth="1"/>
    <col min="4" max="4" width="13.33203125" style="2" bestFit="1" customWidth="1"/>
    <col min="5" max="5" width="15.44140625" style="2" bestFit="1" customWidth="1"/>
    <col min="6" max="61" width="12.6640625" style="2" customWidth="1"/>
    <col min="62" max="16384" width="8.88671875" style="2"/>
  </cols>
  <sheetData>
    <row r="2" spans="2:61" x14ac:dyDescent="0.3">
      <c r="B2" s="20" t="s">
        <v>40</v>
      </c>
      <c r="C2" s="63" t="s">
        <v>41</v>
      </c>
    </row>
    <row r="4" spans="2:61" ht="15.6" x14ac:dyDescent="0.3">
      <c r="B4" s="1" t="s">
        <v>42</v>
      </c>
    </row>
    <row r="5" spans="2:61" x14ac:dyDescent="0.3">
      <c r="B5" s="24" t="s">
        <v>43</v>
      </c>
    </row>
    <row r="6" spans="2:61" x14ac:dyDescent="0.3">
      <c r="B6" s="24" t="s">
        <v>44</v>
      </c>
    </row>
    <row r="8" spans="2:61" ht="15.6" x14ac:dyDescent="0.3">
      <c r="B8" s="1" t="s">
        <v>45</v>
      </c>
    </row>
    <row r="9" spans="2:61" x14ac:dyDescent="0.3">
      <c r="B9" s="4" t="s">
        <v>46</v>
      </c>
      <c r="C9" s="4" t="s">
        <v>47</v>
      </c>
      <c r="D9" s="4" t="s">
        <v>48</v>
      </c>
      <c r="E9" s="4" t="s">
        <v>49</v>
      </c>
    </row>
    <row r="10" spans="2:61" x14ac:dyDescent="0.3">
      <c r="B10" s="42" t="s">
        <v>50</v>
      </c>
      <c r="C10" s="42" t="s">
        <v>51</v>
      </c>
      <c r="D10" s="4" t="s">
        <v>52</v>
      </c>
      <c r="E10" s="65" t="s">
        <v>53</v>
      </c>
    </row>
    <row r="11" spans="2:61" x14ac:dyDescent="0.3">
      <c r="B11" s="2" t="s">
        <v>54</v>
      </c>
      <c r="C11" s="64" t="s">
        <v>55</v>
      </c>
      <c r="D11" s="4" t="s">
        <v>56</v>
      </c>
      <c r="E11" s="65">
        <v>10</v>
      </c>
    </row>
    <row r="12" spans="2:61" x14ac:dyDescent="0.3">
      <c r="D12" s="4"/>
      <c r="E12" s="4"/>
    </row>
    <row r="13" spans="2:61" x14ac:dyDescent="0.3">
      <c r="D13" s="4"/>
      <c r="E13" s="4"/>
    </row>
    <row r="14" spans="2:61" ht="15.6" x14ac:dyDescent="0.3">
      <c r="B14" s="1" t="s">
        <v>57</v>
      </c>
    </row>
    <row r="15" spans="2:61" x14ac:dyDescent="0.3">
      <c r="B15" s="4" t="s">
        <v>46</v>
      </c>
      <c r="C15" s="4" t="s">
        <v>47</v>
      </c>
      <c r="D15" s="4" t="s">
        <v>48</v>
      </c>
      <c r="E15" s="4" t="s">
        <v>58</v>
      </c>
      <c r="F15" s="4" t="s">
        <v>59</v>
      </c>
      <c r="G15" s="4" t="s">
        <v>60</v>
      </c>
      <c r="H15" s="4" t="s">
        <v>53</v>
      </c>
      <c r="I15" s="4" t="s">
        <v>61</v>
      </c>
      <c r="J15" s="4" t="s">
        <v>62</v>
      </c>
      <c r="K15" s="4" t="s">
        <v>63</v>
      </c>
      <c r="L15" s="4" t="s">
        <v>64</v>
      </c>
      <c r="M15" s="4" t="s">
        <v>65</v>
      </c>
      <c r="N15" s="4" t="s">
        <v>66</v>
      </c>
      <c r="O15" s="4" t="s">
        <v>67</v>
      </c>
      <c r="P15" s="4" t="s">
        <v>68</v>
      </c>
      <c r="Q15" s="4" t="s">
        <v>69</v>
      </c>
      <c r="R15" s="4" t="s">
        <v>70</v>
      </c>
      <c r="S15" s="4" t="s">
        <v>71</v>
      </c>
      <c r="T15" s="4" t="s">
        <v>72</v>
      </c>
      <c r="U15" s="4" t="s">
        <v>73</v>
      </c>
      <c r="V15" s="4" t="s">
        <v>74</v>
      </c>
      <c r="W15" s="4" t="s">
        <v>75</v>
      </c>
      <c r="X15" s="4" t="s">
        <v>76</v>
      </c>
      <c r="Y15" s="4" t="s">
        <v>77</v>
      </c>
      <c r="Z15" s="4" t="s">
        <v>78</v>
      </c>
      <c r="AA15" s="4" t="s">
        <v>79</v>
      </c>
      <c r="AB15" s="4" t="s">
        <v>80</v>
      </c>
      <c r="AC15" s="4" t="s">
        <v>81</v>
      </c>
      <c r="AD15" s="4" t="s">
        <v>82</v>
      </c>
      <c r="AE15" s="4" t="s">
        <v>83</v>
      </c>
      <c r="AF15" s="4" t="s">
        <v>84</v>
      </c>
      <c r="AG15" s="4" t="s">
        <v>85</v>
      </c>
      <c r="AH15" s="4" t="s">
        <v>86</v>
      </c>
      <c r="AI15" s="4" t="s">
        <v>87</v>
      </c>
      <c r="AJ15" s="4" t="s">
        <v>88</v>
      </c>
      <c r="AK15" s="4" t="s">
        <v>89</v>
      </c>
      <c r="AL15" s="4" t="s">
        <v>90</v>
      </c>
      <c r="AM15" s="4" t="s">
        <v>91</v>
      </c>
      <c r="AN15" s="4" t="s">
        <v>92</v>
      </c>
      <c r="AO15" s="4" t="s">
        <v>93</v>
      </c>
      <c r="AP15" s="4" t="s">
        <v>94</v>
      </c>
      <c r="AQ15" s="4" t="s">
        <v>95</v>
      </c>
      <c r="AR15" s="4" t="s">
        <v>96</v>
      </c>
      <c r="AS15" s="4" t="s">
        <v>97</v>
      </c>
      <c r="AT15" s="4" t="s">
        <v>98</v>
      </c>
      <c r="AU15" s="4" t="s">
        <v>99</v>
      </c>
      <c r="AV15" s="4" t="s">
        <v>100</v>
      </c>
      <c r="AW15" s="4" t="s">
        <v>101</v>
      </c>
      <c r="AX15" s="4" t="s">
        <v>102</v>
      </c>
      <c r="AY15" s="4" t="s">
        <v>103</v>
      </c>
      <c r="AZ15" s="4" t="s">
        <v>104</v>
      </c>
      <c r="BA15" s="4" t="s">
        <v>105</v>
      </c>
      <c r="BB15" s="4" t="s">
        <v>106</v>
      </c>
      <c r="BC15" s="4" t="s">
        <v>107</v>
      </c>
      <c r="BD15" s="4" t="s">
        <v>108</v>
      </c>
      <c r="BE15" s="4" t="s">
        <v>109</v>
      </c>
      <c r="BF15" s="4" t="s">
        <v>110</v>
      </c>
      <c r="BG15" s="4" t="s">
        <v>111</v>
      </c>
      <c r="BH15" s="4" t="s">
        <v>112</v>
      </c>
      <c r="BI15" s="4" t="s">
        <v>113</v>
      </c>
    </row>
    <row r="16" spans="2:61" x14ac:dyDescent="0.3">
      <c r="B16" s="2" t="s">
        <v>114</v>
      </c>
      <c r="C16" s="2" t="s">
        <v>115</v>
      </c>
      <c r="D16" s="4" t="s">
        <v>116</v>
      </c>
      <c r="E16" s="65" t="s">
        <v>117</v>
      </c>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row>
    <row r="17" spans="2:61" x14ac:dyDescent="0.3">
      <c r="B17" s="2" t="s">
        <v>118</v>
      </c>
      <c r="C17" s="2" t="s">
        <v>115</v>
      </c>
      <c r="D17" s="4" t="s">
        <v>116</v>
      </c>
      <c r="E17" s="65" t="s">
        <v>117</v>
      </c>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row>
    <row r="18" spans="2:61" x14ac:dyDescent="0.3">
      <c r="B18" s="2" t="s">
        <v>119</v>
      </c>
      <c r="C18" s="2" t="s">
        <v>120</v>
      </c>
      <c r="D18" s="4" t="s">
        <v>121</v>
      </c>
      <c r="E18" s="65" t="s">
        <v>117</v>
      </c>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row>
    <row r="19" spans="2:61" x14ac:dyDescent="0.3">
      <c r="B19" s="2" t="s">
        <v>122</v>
      </c>
      <c r="C19" s="2" t="s">
        <v>123</v>
      </c>
      <c r="D19" s="4" t="s">
        <v>124</v>
      </c>
      <c r="E19" s="65" t="s">
        <v>117</v>
      </c>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row>
    <row r="20" spans="2:61" x14ac:dyDescent="0.3">
      <c r="B20" s="2" t="s">
        <v>125</v>
      </c>
      <c r="C20" s="2" t="s">
        <v>126</v>
      </c>
      <c r="D20" s="4" t="s">
        <v>124</v>
      </c>
      <c r="E20" s="65" t="s">
        <v>117</v>
      </c>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row>
    <row r="21" spans="2:61" x14ac:dyDescent="0.3">
      <c r="D21" s="4"/>
      <c r="E21" s="4"/>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row>
    <row r="22" spans="2:61" ht="15.6" x14ac:dyDescent="0.3">
      <c r="B22" s="1" t="s">
        <v>127</v>
      </c>
      <c r="D22" s="4"/>
      <c r="E22" s="4"/>
    </row>
    <row r="23" spans="2:61" x14ac:dyDescent="0.3">
      <c r="B23" s="4" t="s">
        <v>46</v>
      </c>
      <c r="C23" s="4" t="s">
        <v>47</v>
      </c>
      <c r="D23" s="4" t="s">
        <v>48</v>
      </c>
      <c r="E23" s="4" t="s">
        <v>58</v>
      </c>
      <c r="F23" s="4" t="s">
        <v>59</v>
      </c>
      <c r="G23" s="4" t="s">
        <v>60</v>
      </c>
      <c r="H23" s="4" t="s">
        <v>53</v>
      </c>
      <c r="I23" s="4" t="s">
        <v>61</v>
      </c>
      <c r="J23" s="4" t="s">
        <v>62</v>
      </c>
      <c r="K23" s="4" t="s">
        <v>63</v>
      </c>
      <c r="L23" s="4" t="s">
        <v>64</v>
      </c>
      <c r="M23" s="4" t="s">
        <v>65</v>
      </c>
      <c r="N23" s="4" t="s">
        <v>66</v>
      </c>
      <c r="O23" s="4" t="s">
        <v>67</v>
      </c>
      <c r="P23" s="4" t="s">
        <v>68</v>
      </c>
      <c r="Q23" s="4" t="s">
        <v>69</v>
      </c>
      <c r="R23" s="4" t="s">
        <v>70</v>
      </c>
      <c r="S23" s="4" t="s">
        <v>71</v>
      </c>
      <c r="T23" s="4" t="s">
        <v>72</v>
      </c>
      <c r="U23" s="4" t="s">
        <v>73</v>
      </c>
      <c r="V23" s="4" t="s">
        <v>74</v>
      </c>
      <c r="W23" s="4" t="s">
        <v>75</v>
      </c>
      <c r="X23" s="4" t="s">
        <v>76</v>
      </c>
      <c r="Y23" s="4" t="s">
        <v>77</v>
      </c>
      <c r="Z23" s="4" t="s">
        <v>78</v>
      </c>
      <c r="AA23" s="4" t="s">
        <v>79</v>
      </c>
      <c r="AB23" s="4" t="s">
        <v>80</v>
      </c>
      <c r="AC23" s="4" t="s">
        <v>81</v>
      </c>
      <c r="AD23" s="4" t="s">
        <v>82</v>
      </c>
      <c r="AE23" s="4" t="s">
        <v>83</v>
      </c>
      <c r="AF23" s="4" t="s">
        <v>84</v>
      </c>
      <c r="AG23" s="4" t="s">
        <v>85</v>
      </c>
      <c r="AH23" s="4" t="s">
        <v>86</v>
      </c>
      <c r="AI23" s="4" t="s">
        <v>87</v>
      </c>
      <c r="AJ23" s="4" t="s">
        <v>88</v>
      </c>
      <c r="AK23" s="4" t="s">
        <v>89</v>
      </c>
      <c r="AL23" s="4" t="s">
        <v>90</v>
      </c>
      <c r="AM23" s="4" t="s">
        <v>91</v>
      </c>
      <c r="AN23" s="4" t="s">
        <v>92</v>
      </c>
      <c r="AO23" s="4" t="s">
        <v>93</v>
      </c>
      <c r="AP23" s="4" t="s">
        <v>94</v>
      </c>
      <c r="AQ23" s="4" t="s">
        <v>95</v>
      </c>
      <c r="AR23" s="4" t="s">
        <v>96</v>
      </c>
      <c r="AS23" s="4" t="s">
        <v>97</v>
      </c>
      <c r="AT23" s="4" t="s">
        <v>98</v>
      </c>
      <c r="AU23" s="4" t="s">
        <v>99</v>
      </c>
      <c r="AV23" s="4" t="s">
        <v>100</v>
      </c>
      <c r="AW23" s="4" t="s">
        <v>101</v>
      </c>
      <c r="AX23" s="4" t="s">
        <v>102</v>
      </c>
      <c r="AY23" s="4" t="s">
        <v>103</v>
      </c>
      <c r="AZ23" s="4" t="s">
        <v>104</v>
      </c>
      <c r="BA23" s="4" t="s">
        <v>105</v>
      </c>
      <c r="BB23" s="4" t="s">
        <v>106</v>
      </c>
      <c r="BC23" s="4" t="s">
        <v>107</v>
      </c>
      <c r="BD23" s="4" t="s">
        <v>108</v>
      </c>
      <c r="BE23" s="4" t="s">
        <v>109</v>
      </c>
      <c r="BF23" s="4" t="s">
        <v>110</v>
      </c>
      <c r="BG23" s="4" t="s">
        <v>111</v>
      </c>
      <c r="BH23" s="4" t="s">
        <v>112</v>
      </c>
      <c r="BI23" s="4" t="s">
        <v>113</v>
      </c>
    </row>
    <row r="24" spans="2:61" x14ac:dyDescent="0.3">
      <c r="B24" s="2" t="s">
        <v>114</v>
      </c>
      <c r="C24" s="2" t="s">
        <v>115</v>
      </c>
      <c r="D24" s="4" t="s">
        <v>116</v>
      </c>
      <c r="E24" s="65" t="s">
        <v>117</v>
      </c>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row>
    <row r="25" spans="2:61" x14ac:dyDescent="0.3">
      <c r="B25" s="2" t="s">
        <v>118</v>
      </c>
      <c r="C25" s="2" t="s">
        <v>115</v>
      </c>
      <c r="D25" s="4" t="s">
        <v>116</v>
      </c>
      <c r="E25" s="65" t="s">
        <v>117</v>
      </c>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row>
    <row r="26" spans="2:61" x14ac:dyDescent="0.3">
      <c r="B26" s="2" t="s">
        <v>119</v>
      </c>
      <c r="C26" s="2" t="s">
        <v>120</v>
      </c>
      <c r="D26" s="4" t="s">
        <v>121</v>
      </c>
      <c r="E26" s="65" t="s">
        <v>117</v>
      </c>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row>
    <row r="27" spans="2:61" x14ac:dyDescent="0.3">
      <c r="B27" s="2" t="s">
        <v>122</v>
      </c>
      <c r="C27" s="2" t="s">
        <v>123</v>
      </c>
      <c r="D27" s="4" t="s">
        <v>124</v>
      </c>
      <c r="E27" s="65" t="s">
        <v>117</v>
      </c>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row>
    <row r="28" spans="2:61" x14ac:dyDescent="0.3">
      <c r="B28" s="2" t="s">
        <v>125</v>
      </c>
      <c r="C28" s="2" t="s">
        <v>126</v>
      </c>
      <c r="D28" s="4" t="s">
        <v>124</v>
      </c>
      <c r="E28" s="65" t="s">
        <v>117</v>
      </c>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row>
    <row r="29" spans="2:61" x14ac:dyDescent="0.3">
      <c r="D29" s="4"/>
      <c r="E29" s="4"/>
      <c r="F29" s="4"/>
    </row>
    <row r="30" spans="2:61" x14ac:dyDescent="0.3">
      <c r="D30" s="4"/>
      <c r="E30" s="4"/>
    </row>
    <row r="31" spans="2:61" x14ac:dyDescent="0.3">
      <c r="B31" s="3" t="s">
        <v>128</v>
      </c>
      <c r="D31" s="4"/>
      <c r="E31" s="4"/>
    </row>
    <row r="32" spans="2:61" ht="15.6" x14ac:dyDescent="0.3">
      <c r="B32" s="1" t="s">
        <v>129</v>
      </c>
    </row>
    <row r="33" spans="2:61" x14ac:dyDescent="0.3">
      <c r="B33" s="4" t="s">
        <v>46</v>
      </c>
      <c r="C33" s="4" t="s">
        <v>47</v>
      </c>
      <c r="D33" s="4" t="s">
        <v>130</v>
      </c>
      <c r="E33" s="4" t="s">
        <v>58</v>
      </c>
      <c r="F33" s="4" t="s">
        <v>59</v>
      </c>
      <c r="G33" s="4" t="s">
        <v>60</v>
      </c>
      <c r="H33" s="4" t="s">
        <v>53</v>
      </c>
      <c r="I33" s="4" t="s">
        <v>61</v>
      </c>
      <c r="J33" s="4" t="s">
        <v>62</v>
      </c>
      <c r="K33" s="4" t="s">
        <v>63</v>
      </c>
      <c r="L33" s="4" t="s">
        <v>64</v>
      </c>
      <c r="M33" s="4" t="s">
        <v>65</v>
      </c>
      <c r="N33" s="4" t="s">
        <v>66</v>
      </c>
      <c r="O33" s="4" t="s">
        <v>67</v>
      </c>
      <c r="P33" s="4" t="s">
        <v>68</v>
      </c>
      <c r="Q33" s="4" t="s">
        <v>69</v>
      </c>
      <c r="R33" s="4" t="s">
        <v>70</v>
      </c>
      <c r="S33" s="4" t="s">
        <v>71</v>
      </c>
      <c r="T33" s="4" t="s">
        <v>72</v>
      </c>
      <c r="U33" s="4" t="s">
        <v>73</v>
      </c>
      <c r="V33" s="4" t="s">
        <v>74</v>
      </c>
      <c r="W33" s="4" t="s">
        <v>75</v>
      </c>
      <c r="X33" s="4" t="s">
        <v>76</v>
      </c>
      <c r="Y33" s="4" t="s">
        <v>77</v>
      </c>
      <c r="Z33" s="4" t="s">
        <v>78</v>
      </c>
      <c r="AA33" s="4" t="s">
        <v>79</v>
      </c>
      <c r="AB33" s="4" t="s">
        <v>80</v>
      </c>
      <c r="AC33" s="4" t="s">
        <v>81</v>
      </c>
      <c r="AD33" s="4" t="s">
        <v>82</v>
      </c>
      <c r="AE33" s="4" t="s">
        <v>83</v>
      </c>
      <c r="AF33" s="4" t="s">
        <v>84</v>
      </c>
      <c r="AG33" s="4" t="s">
        <v>85</v>
      </c>
      <c r="AH33" s="4" t="s">
        <v>86</v>
      </c>
      <c r="AI33" s="4" t="s">
        <v>87</v>
      </c>
      <c r="AJ33" s="4" t="s">
        <v>88</v>
      </c>
      <c r="AK33" s="4" t="s">
        <v>89</v>
      </c>
      <c r="AL33" s="4" t="s">
        <v>90</v>
      </c>
      <c r="AM33" s="4" t="s">
        <v>91</v>
      </c>
      <c r="AN33" s="4" t="s">
        <v>92</v>
      </c>
      <c r="AO33" s="4" t="s">
        <v>93</v>
      </c>
      <c r="AP33" s="4" t="s">
        <v>94</v>
      </c>
      <c r="AQ33" s="4" t="s">
        <v>95</v>
      </c>
      <c r="AR33" s="4" t="s">
        <v>96</v>
      </c>
      <c r="AS33" s="4" t="s">
        <v>97</v>
      </c>
      <c r="AT33" s="4" t="s">
        <v>98</v>
      </c>
      <c r="AU33" s="4" t="s">
        <v>99</v>
      </c>
      <c r="AV33" s="4" t="s">
        <v>100</v>
      </c>
      <c r="AW33" s="4" t="s">
        <v>101</v>
      </c>
      <c r="AX33" s="4" t="s">
        <v>102</v>
      </c>
      <c r="AY33" s="4" t="s">
        <v>103</v>
      </c>
      <c r="AZ33" s="4" t="s">
        <v>104</v>
      </c>
      <c r="BA33" s="4" t="s">
        <v>105</v>
      </c>
      <c r="BB33" s="4" t="s">
        <v>106</v>
      </c>
      <c r="BC33" s="4" t="s">
        <v>107</v>
      </c>
      <c r="BD33" s="4" t="s">
        <v>108</v>
      </c>
      <c r="BE33" s="4" t="s">
        <v>109</v>
      </c>
      <c r="BF33" s="4" t="s">
        <v>110</v>
      </c>
      <c r="BG33" s="4" t="s">
        <v>111</v>
      </c>
      <c r="BH33" s="4" t="s">
        <v>112</v>
      </c>
      <c r="BI33" s="4" t="s">
        <v>113</v>
      </c>
    </row>
    <row r="34" spans="2:61" ht="15.6" x14ac:dyDescent="0.3">
      <c r="B34" s="2" t="s">
        <v>131</v>
      </c>
      <c r="C34" s="64" t="s">
        <v>132</v>
      </c>
      <c r="D34" s="4" t="s">
        <v>133</v>
      </c>
      <c r="E34" s="65" t="s">
        <v>117</v>
      </c>
      <c r="F34" s="66"/>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6"/>
      <c r="BA34" s="66"/>
      <c r="BB34" s="66"/>
      <c r="BC34" s="66"/>
      <c r="BD34" s="66"/>
      <c r="BE34" s="66"/>
      <c r="BF34" s="66"/>
      <c r="BG34" s="66"/>
      <c r="BH34" s="66"/>
      <c r="BI34" s="66"/>
    </row>
    <row r="35" spans="2:61" ht="15.6" x14ac:dyDescent="0.3">
      <c r="B35" s="2" t="s">
        <v>131</v>
      </c>
      <c r="C35" s="64" t="s">
        <v>132</v>
      </c>
      <c r="D35" s="4" t="s">
        <v>133</v>
      </c>
      <c r="E35" s="65" t="s">
        <v>117</v>
      </c>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row>
    <row r="36" spans="2:61" ht="15.6" x14ac:dyDescent="0.3">
      <c r="B36" s="2" t="s">
        <v>131</v>
      </c>
      <c r="C36" s="64" t="s">
        <v>132</v>
      </c>
      <c r="D36" s="4" t="s">
        <v>133</v>
      </c>
      <c r="E36" s="65" t="s">
        <v>117</v>
      </c>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row>
    <row r="37" spans="2:61" ht="15.6" x14ac:dyDescent="0.3">
      <c r="B37" s="2" t="s">
        <v>131</v>
      </c>
      <c r="C37" s="64" t="s">
        <v>132</v>
      </c>
      <c r="D37" s="4" t="s">
        <v>133</v>
      </c>
      <c r="E37" s="65" t="s">
        <v>117</v>
      </c>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row>
    <row r="38" spans="2:61" x14ac:dyDescent="0.3">
      <c r="D38" s="4"/>
      <c r="E38" s="4"/>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row>
    <row r="39" spans="2:61" ht="15.6" x14ac:dyDescent="0.3">
      <c r="B39" s="1" t="s">
        <v>134</v>
      </c>
    </row>
    <row r="40" spans="2:61" x14ac:dyDescent="0.3">
      <c r="B40" s="4" t="s">
        <v>46</v>
      </c>
      <c r="C40" s="4" t="s">
        <v>47</v>
      </c>
      <c r="D40" s="4" t="s">
        <v>130</v>
      </c>
      <c r="E40" s="4" t="s">
        <v>58</v>
      </c>
      <c r="F40" s="4" t="s">
        <v>59</v>
      </c>
      <c r="G40" s="4" t="s">
        <v>60</v>
      </c>
      <c r="H40" s="4" t="s">
        <v>53</v>
      </c>
      <c r="I40" s="4" t="s">
        <v>61</v>
      </c>
      <c r="J40" s="4" t="s">
        <v>62</v>
      </c>
      <c r="K40" s="4" t="s">
        <v>63</v>
      </c>
      <c r="L40" s="4" t="s">
        <v>64</v>
      </c>
      <c r="M40" s="4" t="s">
        <v>65</v>
      </c>
      <c r="N40" s="4" t="s">
        <v>66</v>
      </c>
      <c r="O40" s="4" t="s">
        <v>67</v>
      </c>
      <c r="P40" s="4" t="s">
        <v>68</v>
      </c>
      <c r="Q40" s="4" t="s">
        <v>69</v>
      </c>
      <c r="R40" s="4" t="s">
        <v>70</v>
      </c>
      <c r="S40" s="4" t="s">
        <v>71</v>
      </c>
      <c r="T40" s="4" t="s">
        <v>72</v>
      </c>
      <c r="U40" s="4" t="s">
        <v>73</v>
      </c>
      <c r="V40" s="4" t="s">
        <v>74</v>
      </c>
      <c r="W40" s="4" t="s">
        <v>75</v>
      </c>
      <c r="X40" s="4" t="s">
        <v>76</v>
      </c>
      <c r="Y40" s="4" t="s">
        <v>77</v>
      </c>
      <c r="Z40" s="4" t="s">
        <v>78</v>
      </c>
      <c r="AA40" s="4" t="s">
        <v>79</v>
      </c>
      <c r="AB40" s="4" t="s">
        <v>80</v>
      </c>
      <c r="AC40" s="4" t="s">
        <v>81</v>
      </c>
      <c r="AD40" s="4" t="s">
        <v>82</v>
      </c>
      <c r="AE40" s="4" t="s">
        <v>83</v>
      </c>
      <c r="AF40" s="4" t="s">
        <v>84</v>
      </c>
      <c r="AG40" s="4" t="s">
        <v>85</v>
      </c>
      <c r="AH40" s="4" t="s">
        <v>86</v>
      </c>
      <c r="AI40" s="4" t="s">
        <v>87</v>
      </c>
      <c r="AJ40" s="4" t="s">
        <v>88</v>
      </c>
      <c r="AK40" s="4" t="s">
        <v>89</v>
      </c>
      <c r="AL40" s="4" t="s">
        <v>90</v>
      </c>
      <c r="AM40" s="4" t="s">
        <v>91</v>
      </c>
      <c r="AN40" s="4" t="s">
        <v>92</v>
      </c>
      <c r="AO40" s="4" t="s">
        <v>93</v>
      </c>
      <c r="AP40" s="4" t="s">
        <v>94</v>
      </c>
      <c r="AQ40" s="4" t="s">
        <v>95</v>
      </c>
      <c r="AR40" s="4" t="s">
        <v>96</v>
      </c>
      <c r="AS40" s="4" t="s">
        <v>97</v>
      </c>
      <c r="AT40" s="4" t="s">
        <v>98</v>
      </c>
      <c r="AU40" s="4" t="s">
        <v>99</v>
      </c>
      <c r="AV40" s="4" t="s">
        <v>100</v>
      </c>
      <c r="AW40" s="4" t="s">
        <v>101</v>
      </c>
      <c r="AX40" s="4" t="s">
        <v>102</v>
      </c>
      <c r="AY40" s="4" t="s">
        <v>103</v>
      </c>
      <c r="AZ40" s="4" t="s">
        <v>104</v>
      </c>
      <c r="BA40" s="4" t="s">
        <v>105</v>
      </c>
      <c r="BB40" s="4" t="s">
        <v>106</v>
      </c>
      <c r="BC40" s="4" t="s">
        <v>107</v>
      </c>
      <c r="BD40" s="4" t="s">
        <v>108</v>
      </c>
      <c r="BE40" s="4" t="s">
        <v>109</v>
      </c>
      <c r="BF40" s="4" t="s">
        <v>110</v>
      </c>
      <c r="BG40" s="4" t="s">
        <v>111</v>
      </c>
      <c r="BH40" s="4" t="s">
        <v>112</v>
      </c>
      <c r="BI40" s="4" t="s">
        <v>113</v>
      </c>
    </row>
    <row r="41" spans="2:61" ht="15.6" x14ac:dyDescent="0.3">
      <c r="B41" s="2" t="s">
        <v>131</v>
      </c>
      <c r="C41" s="64" t="s">
        <v>132</v>
      </c>
      <c r="D41" s="4" t="s">
        <v>133</v>
      </c>
      <c r="E41" s="65" t="s">
        <v>117</v>
      </c>
      <c r="F41" s="66"/>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6"/>
      <c r="AN41" s="66"/>
      <c r="AO41" s="66"/>
      <c r="AP41" s="66"/>
      <c r="AQ41" s="66"/>
      <c r="AR41" s="66"/>
      <c r="AS41" s="66"/>
      <c r="AT41" s="66"/>
      <c r="AU41" s="66"/>
      <c r="AV41" s="66"/>
      <c r="AW41" s="66"/>
      <c r="AX41" s="66"/>
      <c r="AY41" s="66"/>
      <c r="AZ41" s="66"/>
      <c r="BA41" s="66"/>
      <c r="BB41" s="66"/>
      <c r="BC41" s="66"/>
      <c r="BD41" s="66"/>
      <c r="BE41" s="66"/>
      <c r="BF41" s="66"/>
      <c r="BG41" s="66"/>
      <c r="BH41" s="66"/>
      <c r="BI41" s="66"/>
    </row>
    <row r="42" spans="2:61" ht="15.6" x14ac:dyDescent="0.3">
      <c r="B42" s="2" t="s">
        <v>131</v>
      </c>
      <c r="C42" s="64" t="s">
        <v>132</v>
      </c>
      <c r="D42" s="4" t="s">
        <v>133</v>
      </c>
      <c r="E42" s="65" t="s">
        <v>117</v>
      </c>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row>
    <row r="43" spans="2:61" ht="15.6" x14ac:dyDescent="0.3">
      <c r="B43" s="2" t="s">
        <v>131</v>
      </c>
      <c r="C43" s="64" t="s">
        <v>132</v>
      </c>
      <c r="D43" s="4" t="s">
        <v>133</v>
      </c>
      <c r="E43" s="65" t="s">
        <v>117</v>
      </c>
      <c r="F43" s="66"/>
      <c r="G43" s="66"/>
      <c r="H43" s="66"/>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row>
    <row r="44" spans="2:61" ht="15.6" x14ac:dyDescent="0.3">
      <c r="B44" s="2" t="s">
        <v>131</v>
      </c>
      <c r="C44" s="64" t="s">
        <v>132</v>
      </c>
      <c r="D44" s="4" t="s">
        <v>133</v>
      </c>
      <c r="E44" s="65" t="s">
        <v>117</v>
      </c>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row>
    <row r="45" spans="2:61" x14ac:dyDescent="0.3">
      <c r="D45" s="4"/>
      <c r="E45" s="4"/>
      <c r="F45" s="4"/>
    </row>
    <row r="46" spans="2:61" x14ac:dyDescent="0.3">
      <c r="D46" s="4"/>
      <c r="E46" s="4"/>
      <c r="F46" s="4"/>
    </row>
    <row r="47" spans="2:61" x14ac:dyDescent="0.3">
      <c r="B47" s="9" t="s">
        <v>135</v>
      </c>
      <c r="D47" s="4"/>
      <c r="E47" s="4"/>
      <c r="F47" s="4"/>
    </row>
    <row r="48" spans="2:61" x14ac:dyDescent="0.3">
      <c r="B48" s="6" t="s">
        <v>136</v>
      </c>
      <c r="D48" s="4"/>
      <c r="E48" s="4"/>
    </row>
    <row r="49" spans="2:61" ht="15.6" x14ac:dyDescent="0.3">
      <c r="B49" s="1" t="s">
        <v>137</v>
      </c>
    </row>
    <row r="50" spans="2:61" x14ac:dyDescent="0.3">
      <c r="B50" s="4" t="s">
        <v>46</v>
      </c>
      <c r="C50" s="4" t="s">
        <v>47</v>
      </c>
      <c r="D50" s="4" t="s">
        <v>130</v>
      </c>
      <c r="E50" s="4" t="s">
        <v>58</v>
      </c>
      <c r="F50" s="4" t="s">
        <v>59</v>
      </c>
      <c r="G50" s="4" t="s">
        <v>60</v>
      </c>
      <c r="H50" s="4" t="s">
        <v>53</v>
      </c>
      <c r="I50" s="4" t="s">
        <v>61</v>
      </c>
      <c r="J50" s="4" t="s">
        <v>62</v>
      </c>
      <c r="K50" s="4" t="s">
        <v>63</v>
      </c>
      <c r="L50" s="4" t="s">
        <v>64</v>
      </c>
      <c r="M50" s="4" t="s">
        <v>65</v>
      </c>
      <c r="N50" s="4" t="s">
        <v>66</v>
      </c>
      <c r="O50" s="4" t="s">
        <v>67</v>
      </c>
      <c r="P50" s="4" t="s">
        <v>68</v>
      </c>
      <c r="Q50" s="4" t="s">
        <v>69</v>
      </c>
      <c r="R50" s="4" t="s">
        <v>70</v>
      </c>
      <c r="S50" s="4" t="s">
        <v>71</v>
      </c>
      <c r="T50" s="4" t="s">
        <v>72</v>
      </c>
      <c r="U50" s="4" t="s">
        <v>73</v>
      </c>
      <c r="V50" s="4" t="s">
        <v>74</v>
      </c>
      <c r="W50" s="4" t="s">
        <v>75</v>
      </c>
      <c r="X50" s="4" t="s">
        <v>76</v>
      </c>
      <c r="Y50" s="4" t="s">
        <v>77</v>
      </c>
      <c r="Z50" s="4" t="s">
        <v>78</v>
      </c>
      <c r="AA50" s="4" t="s">
        <v>79</v>
      </c>
      <c r="AB50" s="4" t="s">
        <v>80</v>
      </c>
      <c r="AC50" s="4" t="s">
        <v>81</v>
      </c>
      <c r="AD50" s="4" t="s">
        <v>82</v>
      </c>
      <c r="AE50" s="4" t="s">
        <v>83</v>
      </c>
      <c r="AF50" s="4" t="s">
        <v>84</v>
      </c>
      <c r="AG50" s="4" t="s">
        <v>85</v>
      </c>
      <c r="AH50" s="4" t="s">
        <v>86</v>
      </c>
      <c r="AI50" s="4" t="s">
        <v>87</v>
      </c>
      <c r="AJ50" s="4" t="s">
        <v>88</v>
      </c>
      <c r="AK50" s="4" t="s">
        <v>89</v>
      </c>
      <c r="AL50" s="4" t="s">
        <v>90</v>
      </c>
      <c r="AM50" s="4" t="s">
        <v>91</v>
      </c>
      <c r="AN50" s="4" t="s">
        <v>92</v>
      </c>
      <c r="AO50" s="4" t="s">
        <v>93</v>
      </c>
      <c r="AP50" s="4" t="s">
        <v>94</v>
      </c>
      <c r="AQ50" s="4" t="s">
        <v>95</v>
      </c>
      <c r="AR50" s="4" t="s">
        <v>96</v>
      </c>
      <c r="AS50" s="4" t="s">
        <v>97</v>
      </c>
      <c r="AT50" s="4" t="s">
        <v>98</v>
      </c>
      <c r="AU50" s="4" t="s">
        <v>99</v>
      </c>
      <c r="AV50" s="4" t="s">
        <v>100</v>
      </c>
      <c r="AW50" s="4" t="s">
        <v>101</v>
      </c>
      <c r="AX50" s="4" t="s">
        <v>102</v>
      </c>
      <c r="AY50" s="4" t="s">
        <v>103</v>
      </c>
      <c r="AZ50" s="4" t="s">
        <v>104</v>
      </c>
      <c r="BA50" s="4" t="s">
        <v>105</v>
      </c>
      <c r="BB50" s="4" t="s">
        <v>106</v>
      </c>
      <c r="BC50" s="4" t="s">
        <v>107</v>
      </c>
      <c r="BD50" s="4" t="s">
        <v>108</v>
      </c>
      <c r="BE50" s="4" t="s">
        <v>109</v>
      </c>
      <c r="BF50" s="4" t="s">
        <v>110</v>
      </c>
      <c r="BG50" s="4" t="s">
        <v>111</v>
      </c>
      <c r="BH50" s="4" t="s">
        <v>112</v>
      </c>
      <c r="BI50" s="4" t="s">
        <v>113</v>
      </c>
    </row>
    <row r="51" spans="2:61" ht="15.6" x14ac:dyDescent="0.3">
      <c r="B51" s="2" t="s">
        <v>138</v>
      </c>
      <c r="C51" s="2" t="s">
        <v>139</v>
      </c>
      <c r="D51" s="4" t="s">
        <v>133</v>
      </c>
      <c r="E51" s="4" t="s">
        <v>140</v>
      </c>
      <c r="F51" s="15">
        <f>(F$18*Parameters!$E$28*Parameters!$G$28+F$19*Parameters!$G$21+F$20*Parameters!$G$18)/1000+F$34+F$35+F$36+F$37</f>
        <v>0</v>
      </c>
      <c r="G51" s="15">
        <f>(G$18*Parameters!$E$28*Parameters!$G$28+G$19*Parameters!$G$21+G$20*Parameters!$G$18)/1000+G$34+G$35+G$36+G$37</f>
        <v>0</v>
      </c>
      <c r="H51" s="15">
        <f>(H$18*Parameters!$E$28*Parameters!$G$28+H$19*Parameters!$G$21+H$20*Parameters!$G$18)/1000+H$34+H$35+H$36+H$37</f>
        <v>0</v>
      </c>
      <c r="I51" s="15">
        <f>(I$18*Parameters!$E$28*Parameters!$G$28+I$19*Parameters!$G$21+I$20*Parameters!$G$18)/1000+I$34+I$35+I$36+I$37</f>
        <v>0</v>
      </c>
      <c r="J51" s="15">
        <f>(J$18*Parameters!$E$28*Parameters!$G$28+J$19*Parameters!$G$21+J$20*Parameters!$G$18)/1000+J$34+J$35+J$36+J$37</f>
        <v>0</v>
      </c>
      <c r="K51" s="15">
        <f>(K$18*Parameters!$E$28*Parameters!$G$28+K$19*Parameters!$G$21+K$20*Parameters!$G$18)/1000+K$34+K$35+K$36+K$37</f>
        <v>0</v>
      </c>
      <c r="L51" s="15">
        <f>(L$18*Parameters!$E$28*Parameters!$G$28+L$19*Parameters!$G$21+L$20*Parameters!$G$18)/1000+L$34+L$35+L$36+L$37</f>
        <v>0</v>
      </c>
      <c r="M51" s="15">
        <f>(M$18*Parameters!$E$28*Parameters!$G$28+M$19*Parameters!$G$21+M$20*Parameters!$G$18)/1000+M$34+M$35+M$36+M$37</f>
        <v>0</v>
      </c>
      <c r="N51" s="15">
        <f>(N$18*Parameters!$E$28*Parameters!$G$28+N$19*Parameters!$G$21+N$20*Parameters!$G$18)/1000+N$34+N$35+N$36+N$37</f>
        <v>0</v>
      </c>
      <c r="O51" s="15">
        <f>(O$18*Parameters!$E$28*Parameters!$G$28+O$19*Parameters!$G$21+O$20*Parameters!$G$18)/1000+O$34+O$35+O$36+O$37</f>
        <v>0</v>
      </c>
      <c r="P51" s="15">
        <f>(P$18*Parameters!$E$28*Parameters!$G$28+P$19*Parameters!$G$21+P$20*Parameters!$G$18)/1000+P$34+P$35+P$36+P$37</f>
        <v>0</v>
      </c>
      <c r="Q51" s="15">
        <f>(Q$18*Parameters!$E$28*Parameters!$G$28+Q$19*Parameters!$G$21+Q$20*Parameters!$G$18)/1000+Q$34+Q$35+Q$36+Q$37</f>
        <v>0</v>
      </c>
      <c r="R51" s="15">
        <f>(R$18*Parameters!$E$28*Parameters!$G$28+R$19*Parameters!$G$21+R$20*Parameters!$G$18)/1000+R$34+R$35+R$36+R$37</f>
        <v>0</v>
      </c>
      <c r="S51" s="15">
        <f>(S$18*Parameters!$E$28*Parameters!$G$28+S$19*Parameters!$G$21+S$20*Parameters!$G$18)/1000+S$34+S$35+S$36+S$37</f>
        <v>0</v>
      </c>
      <c r="T51" s="15">
        <f>(T$18*Parameters!$E$28*Parameters!$G$28+T$19*Parameters!$G$21+T$20*Parameters!$G$18)/1000+T$34+T$35+T$36+T$37</f>
        <v>0</v>
      </c>
      <c r="U51" s="15">
        <f>(U$18*Parameters!$E$28*Parameters!$G$28+U$19*Parameters!$G$21+U$20*Parameters!$G$18)/1000+U$34+U$35+U$36+U$37</f>
        <v>0</v>
      </c>
      <c r="V51" s="15">
        <f>(V$18*Parameters!$E$28*Parameters!$G$28+V$19*Parameters!$G$21+V$20*Parameters!$G$18)/1000+V$34+V$35+V$36+V$37</f>
        <v>0</v>
      </c>
      <c r="W51" s="15">
        <f>(W$18*Parameters!$E$28*Parameters!$G$28+W$19*Parameters!$G$21+W$20*Parameters!$G$18)/1000+W$34+W$35+W$36+W$37</f>
        <v>0</v>
      </c>
      <c r="X51" s="15">
        <f>(X$18*Parameters!$E$28*Parameters!$G$28+X$19*Parameters!$G$21+X$20*Parameters!$G$18)/1000+X$34+X$35+X$36+X$37</f>
        <v>0</v>
      </c>
      <c r="Y51" s="15">
        <f>(Y$18*Parameters!$E$28*Parameters!$G$28+Y$19*Parameters!$G$21+Y$20*Parameters!$G$18)/1000+Y$34+Y$35+Y$36+Y$37</f>
        <v>0</v>
      </c>
      <c r="Z51" s="15">
        <f>(Z$18*Parameters!$E$28*Parameters!$G$28+Z$19*Parameters!$G$21+Z$20*Parameters!$G$18)/1000+Z$34+Z$35+Z$36+Z$37</f>
        <v>0</v>
      </c>
      <c r="AA51" s="15">
        <f>(AA$18*Parameters!$E$28*Parameters!$G$28+AA$19*Parameters!$G$21+AA$20*Parameters!$G$18)/1000+AA$34+AA$35+AA$36+AA$37</f>
        <v>0</v>
      </c>
      <c r="AB51" s="15">
        <f>(AB$18*Parameters!$E$28*Parameters!$G$28+AB$19*Parameters!$G$21+AB$20*Parameters!$G$18)/1000+AB$34+AB$35+AB$36+AB$37</f>
        <v>0</v>
      </c>
      <c r="AC51" s="15">
        <f>(AC$18*Parameters!$E$28*Parameters!$G$28+AC$19*Parameters!$G$21+AC$20*Parameters!$G$18)/1000+AC$34+AC$35+AC$36+AC$37</f>
        <v>0</v>
      </c>
      <c r="AD51" s="15">
        <f>(AD$18*Parameters!$E$28*Parameters!$G$28+AD$19*Parameters!$G$21+AD$20*Parameters!$G$18)/1000+AD$34+AD$35+AD$36+AD$37</f>
        <v>0</v>
      </c>
      <c r="AE51" s="15">
        <f>(AE$18*Parameters!$E$28*Parameters!$G$28+AE$19*Parameters!$G$21+AE$20*Parameters!$G$18)/1000+AE$34+AE$35+AE$36+AE$37</f>
        <v>0</v>
      </c>
      <c r="AF51" s="15">
        <f>(AF$18*Parameters!$E$28*Parameters!$G$28+AF$19*Parameters!$G$21+AF$20*Parameters!$G$18)/1000+AF$34+AF$35+AF$36+AF$37</f>
        <v>0</v>
      </c>
      <c r="AG51" s="15">
        <f>(AG$18*Parameters!$E$28*Parameters!$G$28+AG$19*Parameters!$G$21+AG$20*Parameters!$G$18)/1000+AG$34+AG$35+AG$36+AG$37</f>
        <v>0</v>
      </c>
      <c r="AH51" s="15">
        <f>(AH$18*Parameters!$E$28*Parameters!$G$28+AH$19*Parameters!$G$21+AH$20*Parameters!$G$18)/1000+AH$34+AH$35+AH$36+AH$37</f>
        <v>0</v>
      </c>
      <c r="AI51" s="15">
        <f>(AI$18*Parameters!$E$28*Parameters!$G$28+AI$19*Parameters!$G$21+AI$20*Parameters!$G$18)/1000+AI$34+AI$35+AI$36+AI$37</f>
        <v>0</v>
      </c>
      <c r="AJ51" s="15">
        <f>(AJ$18*Parameters!$E$28*Parameters!$G$28+AJ$19*Parameters!$G$21+AJ$20*Parameters!$G$18)/1000+AJ$34+AJ$35+AJ$36+AJ$37</f>
        <v>0</v>
      </c>
      <c r="AK51" s="15">
        <f>(AK$18*Parameters!$E$28*Parameters!$G$28+AK$19*Parameters!$G$21+AK$20*Parameters!$G$18)/1000+AK$34+AK$35+AK$36+AK$37</f>
        <v>0</v>
      </c>
      <c r="AL51" s="15">
        <f>(AL$18*Parameters!$E$28*Parameters!$G$28+AL$19*Parameters!$G$21+AL$20*Parameters!$G$18)/1000+AL$34+AL$35+AL$36+AL$37</f>
        <v>0</v>
      </c>
      <c r="AM51" s="15">
        <f>(AM$18*Parameters!$E$28*Parameters!$G$28+AM$19*Parameters!$G$21+AM$20*Parameters!$G$18)/1000+AM$34+AM$35+AM$36+AM$37</f>
        <v>0</v>
      </c>
      <c r="AN51" s="15">
        <f>(AN$18*Parameters!$E$28*Parameters!$G$28+AN$19*Parameters!$G$21+AN$20*Parameters!$G$18)/1000+AN$34+AN$35+AN$36+AN$37</f>
        <v>0</v>
      </c>
      <c r="AO51" s="15">
        <f>(AO$18*Parameters!$E$28*Parameters!$G$28+AO$19*Parameters!$G$21+AO$20*Parameters!$G$18)/1000+AO$34+AO$35+AO$36+AO$37</f>
        <v>0</v>
      </c>
      <c r="AP51" s="15">
        <f>(AP$18*Parameters!$E$28*Parameters!$G$28+AP$19*Parameters!$G$21+AP$20*Parameters!$G$18)/1000+AP$34+AP$35+AP$36+AP$37</f>
        <v>0</v>
      </c>
      <c r="AQ51" s="15">
        <f>(AQ$18*Parameters!$E$28*Parameters!$G$28+AQ$19*Parameters!$G$21+AQ$20*Parameters!$G$18)/1000+AQ$34+AQ$35+AQ$36+AQ$37</f>
        <v>0</v>
      </c>
      <c r="AR51" s="15">
        <f>(AR$18*Parameters!$E$28*Parameters!$G$28+AR$19*Parameters!$G$21+AR$20*Parameters!$G$18)/1000+AR$34+AR$35+AR$36+AR$37</f>
        <v>0</v>
      </c>
      <c r="AS51" s="15">
        <f>(AS$18*Parameters!$E$28*Parameters!$G$28+AS$19*Parameters!$G$21+AS$20*Parameters!$G$18)/1000+AS$34+AS$35+AS$36+AS$37</f>
        <v>0</v>
      </c>
      <c r="AT51" s="15">
        <f>(AT$18*Parameters!$E$28*Parameters!$G$28+AT$19*Parameters!$G$21+AT$20*Parameters!$G$18)/1000+AT$34+AT$35+AT$36+AT$37</f>
        <v>0</v>
      </c>
      <c r="AU51" s="15">
        <f>(AU$18*Parameters!$E$28*Parameters!$G$28+AU$19*Parameters!$G$21+AU$20*Parameters!$G$18)/1000+AU$34+AU$35+AU$36+AU$37</f>
        <v>0</v>
      </c>
      <c r="AV51" s="15">
        <f>(AV$18*Parameters!$E$28*Parameters!$G$28+AV$19*Parameters!$G$21+AV$20*Parameters!$G$18)/1000+AV$34+AV$35+AV$36+AV$37</f>
        <v>0</v>
      </c>
      <c r="AW51" s="15">
        <f>(AW$18*Parameters!$E$28*Parameters!$G$28+AW$19*Parameters!$G$21+AW$20*Parameters!$G$18)/1000+AW$34+AW$35+AW$36+AW$37</f>
        <v>0</v>
      </c>
      <c r="AX51" s="15">
        <f>(AX$18*Parameters!$E$28*Parameters!$G$28+AX$19*Parameters!$G$21+AX$20*Parameters!$G$18)/1000+AX$34+AX$35+AX$36+AX$37</f>
        <v>0</v>
      </c>
      <c r="AY51" s="15">
        <f>(AY$18*Parameters!$E$28*Parameters!$G$28+AY$19*Parameters!$G$21+AY$20*Parameters!$G$18)/1000+AY$34+AY$35+AY$36+AY$37</f>
        <v>0</v>
      </c>
      <c r="AZ51" s="15">
        <f>(AZ$18*Parameters!$E$28*Parameters!$G$28+AZ$19*Parameters!$G$21+AZ$20*Parameters!$G$18)/1000+AZ$34+AZ$35+AZ$36+AZ$37</f>
        <v>0</v>
      </c>
      <c r="BA51" s="15">
        <f>(BA$18*Parameters!$E$28*Parameters!$G$28+BA$19*Parameters!$G$21+BA$20*Parameters!$G$18)/1000+BA$34+BA$35+BA$36+BA$37</f>
        <v>0</v>
      </c>
      <c r="BB51" s="15">
        <f>(BB$18*Parameters!$E$28*Parameters!$G$28+BB$19*Parameters!$G$21+BB$20*Parameters!$G$18)/1000+BB$34+BB$35+BB$36+BB$37</f>
        <v>0</v>
      </c>
      <c r="BC51" s="15">
        <f>(BC$18*Parameters!$E$28*Parameters!$G$28+BC$19*Parameters!$G$21+BC$20*Parameters!$G$18)/1000+BC$34+BC$35+BC$36+BC$37</f>
        <v>0</v>
      </c>
      <c r="BD51" s="15">
        <f>(BD$18*Parameters!$E$28*Parameters!$G$28+BD$19*Parameters!$G$21+BD$20*Parameters!$G$18)/1000+BD$34+BD$35+BD$36+BD$37</f>
        <v>0</v>
      </c>
      <c r="BE51" s="15">
        <f>(BE$18*Parameters!$E$28*Parameters!$G$28+BE$19*Parameters!$G$21+BE$20*Parameters!$G$18)/1000+BE$34+BE$35+BE$36+BE$37</f>
        <v>0</v>
      </c>
      <c r="BF51" s="15">
        <f>(BF$18*Parameters!$E$28*Parameters!$G$28+BF$19*Parameters!$G$21+BF$20*Parameters!$G$18)/1000+BF$34+BF$35+BF$36+BF$37</f>
        <v>0</v>
      </c>
      <c r="BG51" s="15">
        <f>(BG$18*Parameters!$E$28*Parameters!$G$28+BG$19*Parameters!$G$21+BG$20*Parameters!$G$18)/1000+BG$34+BG$35+BG$36+BG$37</f>
        <v>0</v>
      </c>
      <c r="BH51" s="15">
        <f>(BH$18*Parameters!$E$28*Parameters!$G$28+BH$19*Parameters!$G$21+BH$20*Parameters!$G$18)/1000+BH$34+BH$35+BH$36+BH$37</f>
        <v>0</v>
      </c>
      <c r="BI51" s="15">
        <f>(BI$18*Parameters!$E$28*Parameters!$G$28+BI$19*Parameters!$G$21+BI$20*Parameters!$G$18)/1000+BI$34+BI$35+BI$36+BI$37</f>
        <v>0</v>
      </c>
    </row>
    <row r="52" spans="2:61" ht="15.6" x14ac:dyDescent="0.3">
      <c r="B52" s="2" t="s">
        <v>141</v>
      </c>
      <c r="C52" s="2" t="s">
        <v>142</v>
      </c>
      <c r="D52" s="4" t="s">
        <v>133</v>
      </c>
      <c r="E52" s="4" t="s">
        <v>140</v>
      </c>
      <c r="F52" s="15" cm="1">
        <f t="array" ref="F52">(F$16-F$17)*Grid[2024]</f>
        <v>0</v>
      </c>
      <c r="G52" s="15" cm="1">
        <f t="array" ref="G52">(G$16-G$17)*Grid[2025]</f>
        <v>0</v>
      </c>
      <c r="H52" s="15" cm="1">
        <f t="array" ref="H52">(H$16-H$17)*Grid[2026]</f>
        <v>0</v>
      </c>
      <c r="I52" s="15" cm="1">
        <f t="array" ref="I52">(I$16-I$17)*Grid[2027]</f>
        <v>0</v>
      </c>
      <c r="J52" s="15" cm="1">
        <f t="array" ref="J52">(J$16-J$17)*Grid[2028]</f>
        <v>0</v>
      </c>
      <c r="K52" s="15" cm="1">
        <f t="array" ref="K52">(K$16-K$17)*Grid[2029]</f>
        <v>0</v>
      </c>
      <c r="L52" s="15" cm="1">
        <f t="array" ref="L52">(L$16-L$17)*Grid[2030]</f>
        <v>0</v>
      </c>
      <c r="M52" s="15" cm="1">
        <f t="array" ref="M52">(M$16-M$17)*Grid[2031]</f>
        <v>0</v>
      </c>
      <c r="N52" s="15" cm="1">
        <f t="array" ref="N52">(N$16-N$17)*Grid[2032]</f>
        <v>0</v>
      </c>
      <c r="O52" s="15" cm="1">
        <f t="array" ref="O52">(O$16-O$17)*Grid[2033]</f>
        <v>0</v>
      </c>
      <c r="P52" s="15" cm="1">
        <f t="array" ref="P52">(P$16-P$17)*Grid[2034]</f>
        <v>0</v>
      </c>
      <c r="Q52" s="15" cm="1">
        <f t="array" ref="Q52">(Q$16-Q$17)*Grid[2035]</f>
        <v>0</v>
      </c>
      <c r="R52" s="15" cm="1">
        <f t="array" ref="R52">(R$16-R$17)*Grid[2036]</f>
        <v>0</v>
      </c>
      <c r="S52" s="15" cm="1">
        <f t="array" ref="S52">(S$16-S$17)*Grid[2037]</f>
        <v>0</v>
      </c>
      <c r="T52" s="15" cm="1">
        <f t="array" ref="T52">(T$16-T$17)*Grid[2038]</f>
        <v>0</v>
      </c>
      <c r="U52" s="15" cm="1">
        <f t="array" ref="U52">(U$16-U$17)*Grid[2039]</f>
        <v>0</v>
      </c>
      <c r="V52" s="15" cm="1">
        <f t="array" ref="V52">(V$16-V$17)*Grid[2040]</f>
        <v>0</v>
      </c>
      <c r="W52" s="15" cm="1">
        <f t="array" ref="W52">(W$16-W$17)*Grid[2041]</f>
        <v>0</v>
      </c>
      <c r="X52" s="15" cm="1">
        <f t="array" ref="X52">(X$16-X$17)*Grid[2042]</f>
        <v>0</v>
      </c>
      <c r="Y52" s="15" cm="1">
        <f t="array" ref="Y52">(Y$16-Y$17)*Grid[2043]</f>
        <v>0</v>
      </c>
      <c r="Z52" s="15" cm="1">
        <f t="array" ref="Z52">(Z$16-Z$17)*Grid[2044]</f>
        <v>0</v>
      </c>
      <c r="AA52" s="15" cm="1">
        <f t="array" ref="AA52">(AA$16-AA$17)*Grid[2045]</f>
        <v>0</v>
      </c>
      <c r="AB52" s="15" cm="1">
        <f t="array" ref="AB52">(AB$16-AB$17)*Grid[2046]</f>
        <v>0</v>
      </c>
      <c r="AC52" s="15" cm="1">
        <f t="array" ref="AC52">(AC$16-AC$17)*Grid[2047]</f>
        <v>0</v>
      </c>
      <c r="AD52" s="15" cm="1">
        <f t="array" ref="AD52">(AD$16-AD$17)*Grid[2048]</f>
        <v>0</v>
      </c>
      <c r="AE52" s="15" cm="1">
        <f t="array" ref="AE52">(AE$16-AE$17)*Grid[2049]</f>
        <v>0</v>
      </c>
      <c r="AF52" s="15" cm="1">
        <f t="array" ref="AF52">(AF$16-AF$17)*Grid[2050]</f>
        <v>0</v>
      </c>
      <c r="AG52" s="15" cm="1">
        <f t="array" ref="AG52">(AG$16-AG$17)*Grid[2051]</f>
        <v>0</v>
      </c>
      <c r="AH52" s="15" cm="1">
        <f t="array" ref="AH52">(AH$16-AH$17)*Grid[2052]</f>
        <v>0</v>
      </c>
      <c r="AI52" s="15" cm="1">
        <f t="array" ref="AI52">(AI$16-AI$17)*Grid[2053]</f>
        <v>0</v>
      </c>
      <c r="AJ52" s="15" cm="1">
        <f t="array" ref="AJ52">(AJ$16-AJ$17)*Grid[2054]</f>
        <v>0</v>
      </c>
      <c r="AK52" s="15" cm="1">
        <f t="array" ref="AK52">(AK$16-AK$17)*Grid[2055]</f>
        <v>0</v>
      </c>
      <c r="AL52" s="15" cm="1">
        <f t="array" ref="AL52">(AL$16-AL$17)*Grid[2056]</f>
        <v>0</v>
      </c>
      <c r="AM52" s="15" cm="1">
        <f t="array" ref="AM52">(AM$16-AM$17)*Grid[2057]</f>
        <v>0</v>
      </c>
      <c r="AN52" s="15" cm="1">
        <f t="array" ref="AN52">(AN$16-AN$17)*Grid[2058]</f>
        <v>0</v>
      </c>
      <c r="AO52" s="15" cm="1">
        <f t="array" ref="AO52">(AO$16-AO$17)*Grid[2059]</f>
        <v>0</v>
      </c>
      <c r="AP52" s="15" cm="1">
        <f t="array" ref="AP52">(AP$16-AP$17)*Grid[2060]</f>
        <v>0</v>
      </c>
      <c r="AQ52" s="15" cm="1">
        <f t="array" ref="AQ52">(AQ$16-AQ$17)*Grid[2061]</f>
        <v>0</v>
      </c>
      <c r="AR52" s="15" cm="1">
        <f t="array" ref="AR52">(AR$16-AR$17)*Grid[2062]</f>
        <v>0</v>
      </c>
      <c r="AS52" s="15" cm="1">
        <f t="array" ref="AS52">(AS$16-AS$17)*Grid[2063]</f>
        <v>0</v>
      </c>
      <c r="AT52" s="15" cm="1">
        <f t="array" ref="AT52">(AT$16-AT$17)*Grid[2064]</f>
        <v>0</v>
      </c>
      <c r="AU52" s="15" cm="1">
        <f t="array" ref="AU52">(AU$16-AU$17)*Grid[2065]</f>
        <v>0</v>
      </c>
      <c r="AV52" s="15" cm="1">
        <f t="array" ref="AV52">(AV$16-AV$17)*Grid[2066]</f>
        <v>0</v>
      </c>
      <c r="AW52" s="15" cm="1">
        <f t="array" ref="AW52">(AW$16-AW$17)*Grid[2067]</f>
        <v>0</v>
      </c>
      <c r="AX52" s="15" cm="1">
        <f t="array" ref="AX52">(AX$16-AX$17)*Grid[2068]</f>
        <v>0</v>
      </c>
      <c r="AY52" s="15" cm="1">
        <f t="array" ref="AY52">(AY$16-AY$17)*Grid[2069]</f>
        <v>0</v>
      </c>
      <c r="AZ52" s="15" cm="1">
        <f t="array" ref="AZ52">(AZ$16-AZ$17)*Grid[2070]</f>
        <v>0</v>
      </c>
      <c r="BA52" s="15" cm="1">
        <f t="array" ref="BA52">(BA$16-BA$17)*Grid[2071]</f>
        <v>0</v>
      </c>
      <c r="BB52" s="15" cm="1">
        <f t="array" ref="BB52">(BB$16-BB$17)*Grid[2072]</f>
        <v>0</v>
      </c>
      <c r="BC52" s="15" cm="1">
        <f t="array" ref="BC52">(BC$16-BC$17)*Grid[2073]</f>
        <v>0</v>
      </c>
      <c r="BD52" s="15" cm="1">
        <f t="array" ref="BD52">(BD$16-BD$17)*Grid[2074]</f>
        <v>0</v>
      </c>
      <c r="BE52" s="15" cm="1">
        <f t="array" ref="BE52">(BE$16-BE$17)*Grid[2075]</f>
        <v>0</v>
      </c>
      <c r="BF52" s="15" cm="1">
        <f t="array" ref="BF52">(BF$16-BF$17)*Grid[2076]</f>
        <v>0</v>
      </c>
      <c r="BG52" s="15" cm="1">
        <f t="array" ref="BG52">(BG$16-BG$17)*Grid[2077]</f>
        <v>0</v>
      </c>
      <c r="BH52" s="15" cm="1">
        <f t="array" ref="BH52">(BH$16-BH$17)*Grid[2078]</f>
        <v>0</v>
      </c>
      <c r="BI52" s="15" cm="1">
        <f t="array" ref="BI52">(BI$16-BI$17)*Grid[2079]</f>
        <v>0</v>
      </c>
    </row>
    <row r="53" spans="2:61" ht="15.6" x14ac:dyDescent="0.3">
      <c r="B53" s="2" t="s">
        <v>143</v>
      </c>
      <c r="D53" s="4" t="s">
        <v>133</v>
      </c>
      <c r="E53" s="4" t="s">
        <v>140</v>
      </c>
      <c r="F53" s="15">
        <f>SUBTOTAL(109,BaseTEm[FY24/25])</f>
        <v>0</v>
      </c>
      <c r="G53" s="15">
        <f>SUBTOTAL(109,BaseTEm[FY25/26])</f>
        <v>0</v>
      </c>
      <c r="H53" s="15">
        <f>SUBTOTAL(109,BaseTEm[FY26/27])</f>
        <v>0</v>
      </c>
      <c r="I53" s="15">
        <f>SUBTOTAL(109,BaseTEm[FY27/28])</f>
        <v>0</v>
      </c>
      <c r="J53" s="15">
        <f>SUBTOTAL(109,BaseTEm[FY28/29])</f>
        <v>0</v>
      </c>
      <c r="K53" s="15">
        <f>SUBTOTAL(109,BaseTEm[FY29/30])</f>
        <v>0</v>
      </c>
      <c r="L53" s="15">
        <f>SUBTOTAL(109,BaseTEm[FY30/31])</f>
        <v>0</v>
      </c>
      <c r="M53" s="15">
        <f>SUBTOTAL(109,BaseTEm[FY31/32])</f>
        <v>0</v>
      </c>
      <c r="N53" s="15">
        <f>SUBTOTAL(109,BaseTEm[FY32/33])</f>
        <v>0</v>
      </c>
      <c r="O53" s="15">
        <f>SUBTOTAL(109,BaseTEm[FY33/34])</f>
        <v>0</v>
      </c>
      <c r="P53" s="15">
        <f>SUBTOTAL(109,BaseTEm[FY34/35])</f>
        <v>0</v>
      </c>
      <c r="Q53" s="15">
        <f>SUBTOTAL(109,BaseTEm[FY35/36])</f>
        <v>0</v>
      </c>
      <c r="R53" s="15">
        <f>SUBTOTAL(109,BaseTEm[FY36/37])</f>
        <v>0</v>
      </c>
      <c r="S53" s="15">
        <f>SUBTOTAL(109,BaseTEm[FY37/38])</f>
        <v>0</v>
      </c>
      <c r="T53" s="15">
        <f>SUBTOTAL(109,BaseTEm[FY38/39])</f>
        <v>0</v>
      </c>
      <c r="U53" s="15">
        <f>SUBTOTAL(109,BaseTEm[FY39/40])</f>
        <v>0</v>
      </c>
      <c r="V53" s="15">
        <f>SUBTOTAL(109,BaseTEm[FY40/41])</f>
        <v>0</v>
      </c>
      <c r="W53" s="15">
        <f>SUBTOTAL(109,BaseTEm[FY41/42])</f>
        <v>0</v>
      </c>
      <c r="X53" s="15">
        <f>SUBTOTAL(109,BaseTEm[FY42/43])</f>
        <v>0</v>
      </c>
      <c r="Y53" s="15">
        <f>SUBTOTAL(109,BaseTEm[FY43/44])</f>
        <v>0</v>
      </c>
      <c r="Z53" s="15">
        <f>SUBTOTAL(109,BaseTEm[FY44/45])</f>
        <v>0</v>
      </c>
      <c r="AA53" s="15">
        <f>SUBTOTAL(109,BaseTEm[FY45/46])</f>
        <v>0</v>
      </c>
      <c r="AB53" s="15">
        <f>SUBTOTAL(109,BaseTEm[FY46/47])</f>
        <v>0</v>
      </c>
      <c r="AC53" s="15">
        <f>SUBTOTAL(109,BaseTEm[FY47/48])</f>
        <v>0</v>
      </c>
      <c r="AD53" s="15">
        <f>SUBTOTAL(109,BaseTEm[FY48/49])</f>
        <v>0</v>
      </c>
      <c r="AE53" s="15">
        <f>SUBTOTAL(109,BaseTEm[FY49/50])</f>
        <v>0</v>
      </c>
      <c r="AF53" s="15">
        <f>SUBTOTAL(109,BaseTEm[FY50/51])</f>
        <v>0</v>
      </c>
      <c r="AG53" s="15">
        <f>SUBTOTAL(109,BaseTEm[FY51/52])</f>
        <v>0</v>
      </c>
      <c r="AH53" s="15">
        <f>SUBTOTAL(109,BaseTEm[FY52/53])</f>
        <v>0</v>
      </c>
      <c r="AI53" s="15">
        <f>SUBTOTAL(109,BaseTEm[FY53/54])</f>
        <v>0</v>
      </c>
      <c r="AJ53" s="15">
        <f>SUBTOTAL(109,BaseTEm[FY54/55])</f>
        <v>0</v>
      </c>
      <c r="AK53" s="15">
        <f>SUBTOTAL(109,BaseTEm[FY55/56])</f>
        <v>0</v>
      </c>
      <c r="AL53" s="15">
        <f>SUBTOTAL(109,BaseTEm[FY56/57])</f>
        <v>0</v>
      </c>
      <c r="AM53" s="15">
        <f>SUBTOTAL(109,BaseTEm[FY57/58])</f>
        <v>0</v>
      </c>
      <c r="AN53" s="15">
        <f>SUBTOTAL(109,BaseTEm[FY58/59])</f>
        <v>0</v>
      </c>
      <c r="AO53" s="15">
        <f>SUBTOTAL(109,BaseTEm[FY59/60])</f>
        <v>0</v>
      </c>
      <c r="AP53" s="15">
        <f>SUBTOTAL(109,BaseTEm[FY60/61])</f>
        <v>0</v>
      </c>
      <c r="AQ53" s="15">
        <f>SUBTOTAL(109,BaseTEm[FY61/62])</f>
        <v>0</v>
      </c>
      <c r="AR53" s="15">
        <f>SUBTOTAL(109,BaseTEm[FY62/63])</f>
        <v>0</v>
      </c>
      <c r="AS53" s="15">
        <f>SUBTOTAL(109,BaseTEm[FY63/64])</f>
        <v>0</v>
      </c>
      <c r="AT53" s="15">
        <f>SUBTOTAL(109,BaseTEm[FY64/65])</f>
        <v>0</v>
      </c>
      <c r="AU53" s="15">
        <f>SUBTOTAL(109,BaseTEm[FY65/66])</f>
        <v>0</v>
      </c>
      <c r="AV53" s="15">
        <f>SUBTOTAL(109,BaseTEm[FY66/67])</f>
        <v>0</v>
      </c>
      <c r="AW53" s="15">
        <f>SUBTOTAL(109,BaseTEm[FY67/68])</f>
        <v>0</v>
      </c>
      <c r="AX53" s="15">
        <f>SUBTOTAL(109,BaseTEm[FY68/69])</f>
        <v>0</v>
      </c>
      <c r="AY53" s="15">
        <f>SUBTOTAL(109,BaseTEm[FY69/70])</f>
        <v>0</v>
      </c>
      <c r="AZ53" s="15">
        <f>SUBTOTAL(109,BaseTEm[FY70/71])</f>
        <v>0</v>
      </c>
      <c r="BA53" s="15">
        <f>SUBTOTAL(109,BaseTEm[FY71/72])</f>
        <v>0</v>
      </c>
      <c r="BB53" s="15">
        <f>SUBTOTAL(109,BaseTEm[FY72/73])</f>
        <v>0</v>
      </c>
      <c r="BC53" s="15">
        <f>SUBTOTAL(109,BaseTEm[FY73/74])</f>
        <v>0</v>
      </c>
      <c r="BD53" s="15">
        <f>SUBTOTAL(109,BaseTEm[FY74/75])</f>
        <v>0</v>
      </c>
      <c r="BE53" s="15">
        <f>SUBTOTAL(109,BaseTEm[FY75/76])</f>
        <v>0</v>
      </c>
      <c r="BF53" s="15">
        <f>SUBTOTAL(109,BaseTEm[FY76/77])</f>
        <v>0</v>
      </c>
      <c r="BG53" s="15">
        <f>SUBTOTAL(109,BaseTEm[FY77/78])</f>
        <v>0</v>
      </c>
      <c r="BH53" s="15">
        <f>SUBTOTAL(109,BaseTEm[FY78/79])</f>
        <v>0</v>
      </c>
      <c r="BI53" s="15">
        <f>SUBTOTAL(109,BaseTEm[FY79/80])</f>
        <v>0</v>
      </c>
    </row>
    <row r="54" spans="2:61" x14ac:dyDescent="0.3">
      <c r="D54" s="4"/>
      <c r="E54" s="4"/>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row>
    <row r="55" spans="2:61" ht="15.6" x14ac:dyDescent="0.3">
      <c r="B55" s="1" t="s">
        <v>144</v>
      </c>
    </row>
    <row r="56" spans="2:61" x14ac:dyDescent="0.3">
      <c r="B56" s="4" t="s">
        <v>46</v>
      </c>
      <c r="C56" s="4" t="s">
        <v>47</v>
      </c>
      <c r="D56" s="4" t="s">
        <v>130</v>
      </c>
      <c r="E56" s="4" t="s">
        <v>58</v>
      </c>
      <c r="F56" s="4" t="s">
        <v>59</v>
      </c>
      <c r="G56" s="4" t="s">
        <v>60</v>
      </c>
      <c r="H56" s="4" t="s">
        <v>53</v>
      </c>
      <c r="I56" s="4" t="s">
        <v>61</v>
      </c>
      <c r="J56" s="4" t="s">
        <v>62</v>
      </c>
      <c r="K56" s="4" t="s">
        <v>63</v>
      </c>
      <c r="L56" s="4" t="s">
        <v>64</v>
      </c>
      <c r="M56" s="4" t="s">
        <v>65</v>
      </c>
      <c r="N56" s="4" t="s">
        <v>66</v>
      </c>
      <c r="O56" s="4" t="s">
        <v>67</v>
      </c>
      <c r="P56" s="4" t="s">
        <v>68</v>
      </c>
      <c r="Q56" s="4" t="s">
        <v>69</v>
      </c>
      <c r="R56" s="4" t="s">
        <v>70</v>
      </c>
      <c r="S56" s="4" t="s">
        <v>71</v>
      </c>
      <c r="T56" s="4" t="s">
        <v>72</v>
      </c>
      <c r="U56" s="4" t="s">
        <v>73</v>
      </c>
      <c r="V56" s="4" t="s">
        <v>74</v>
      </c>
      <c r="W56" s="4" t="s">
        <v>75</v>
      </c>
      <c r="X56" s="4" t="s">
        <v>76</v>
      </c>
      <c r="Y56" s="4" t="s">
        <v>77</v>
      </c>
      <c r="Z56" s="4" t="s">
        <v>78</v>
      </c>
      <c r="AA56" s="4" t="s">
        <v>79</v>
      </c>
      <c r="AB56" s="4" t="s">
        <v>80</v>
      </c>
      <c r="AC56" s="4" t="s">
        <v>81</v>
      </c>
      <c r="AD56" s="4" t="s">
        <v>82</v>
      </c>
      <c r="AE56" s="4" t="s">
        <v>83</v>
      </c>
      <c r="AF56" s="4" t="s">
        <v>84</v>
      </c>
      <c r="AG56" s="4" t="s">
        <v>85</v>
      </c>
      <c r="AH56" s="4" t="s">
        <v>86</v>
      </c>
      <c r="AI56" s="4" t="s">
        <v>87</v>
      </c>
      <c r="AJ56" s="4" t="s">
        <v>88</v>
      </c>
      <c r="AK56" s="4" t="s">
        <v>89</v>
      </c>
      <c r="AL56" s="4" t="s">
        <v>90</v>
      </c>
      <c r="AM56" s="4" t="s">
        <v>91</v>
      </c>
      <c r="AN56" s="4" t="s">
        <v>92</v>
      </c>
      <c r="AO56" s="4" t="s">
        <v>93</v>
      </c>
      <c r="AP56" s="4" t="s">
        <v>94</v>
      </c>
      <c r="AQ56" s="4" t="s">
        <v>95</v>
      </c>
      <c r="AR56" s="4" t="s">
        <v>96</v>
      </c>
      <c r="AS56" s="4" t="s">
        <v>97</v>
      </c>
      <c r="AT56" s="4" t="s">
        <v>98</v>
      </c>
      <c r="AU56" s="4" t="s">
        <v>99</v>
      </c>
      <c r="AV56" s="4" t="s">
        <v>100</v>
      </c>
      <c r="AW56" s="4" t="s">
        <v>101</v>
      </c>
      <c r="AX56" s="4" t="s">
        <v>102</v>
      </c>
      <c r="AY56" s="4" t="s">
        <v>103</v>
      </c>
      <c r="AZ56" s="4" t="s">
        <v>104</v>
      </c>
      <c r="BA56" s="4" t="s">
        <v>105</v>
      </c>
      <c r="BB56" s="4" t="s">
        <v>106</v>
      </c>
      <c r="BC56" s="4" t="s">
        <v>107</v>
      </c>
      <c r="BD56" s="4" t="s">
        <v>108</v>
      </c>
      <c r="BE56" s="4" t="s">
        <v>109</v>
      </c>
      <c r="BF56" s="4" t="s">
        <v>110</v>
      </c>
      <c r="BG56" s="4" t="s">
        <v>111</v>
      </c>
      <c r="BH56" s="4" t="s">
        <v>112</v>
      </c>
      <c r="BI56" s="4" t="s">
        <v>113</v>
      </c>
    </row>
    <row r="57" spans="2:61" ht="15.6" x14ac:dyDescent="0.3">
      <c r="B57" s="2" t="s">
        <v>138</v>
      </c>
      <c r="C57" s="2" t="s">
        <v>139</v>
      </c>
      <c r="D57" s="4" t="s">
        <v>133</v>
      </c>
      <c r="E57" s="4" t="s">
        <v>140</v>
      </c>
      <c r="F57" s="15">
        <f>(F$26*Parameters!$E$28*Parameters!$G$28+F$27*Parameters!$G$21+F$28*Parameters!$G$18)/1000+F$41+F$42+F$43+F$44</f>
        <v>0</v>
      </c>
      <c r="G57" s="15">
        <f>(G$26*Parameters!$E$28*Parameters!$G$28+G$27*Parameters!$G$21+G$28*Parameters!$G$18)/1000+G$41+G$42+G$43+G$44</f>
        <v>0</v>
      </c>
      <c r="H57" s="15">
        <f>(H$26*Parameters!$E$28*Parameters!$G$28+H$27*Parameters!$G$21+H$28*Parameters!$G$18)/1000+H$41+H$42+H$43+H$44</f>
        <v>0</v>
      </c>
      <c r="I57" s="15">
        <f>(I$26*Parameters!$E$28*Parameters!$G$28+I$27*Parameters!$G$21+I$28*Parameters!$G$18)/1000+I$41+I$42+I$43+I$44</f>
        <v>0</v>
      </c>
      <c r="J57" s="15">
        <f>(J$26*Parameters!$E$28*Parameters!$G$28+J$27*Parameters!$G$21+J$28*Parameters!$G$18)/1000+J$41+J$42+J$43+J$44</f>
        <v>0</v>
      </c>
      <c r="K57" s="15">
        <f>(K$26*Parameters!$E$28*Parameters!$G$28+K$27*Parameters!$G$21+K$28*Parameters!$G$18)/1000+K$41+K$42+K$43+K$44</f>
        <v>0</v>
      </c>
      <c r="L57" s="15">
        <f>(L$26*Parameters!$E$28*Parameters!$G$28+L$27*Parameters!$G$21+L$28*Parameters!$G$18)/1000+L$41+L$42+L$43+L$44</f>
        <v>0</v>
      </c>
      <c r="M57" s="15">
        <f>(M$26*Parameters!$E$28*Parameters!$G$28+M$27*Parameters!$G$21+M$28*Parameters!$G$18)/1000+M$41+M$42+M$43+M$44</f>
        <v>0</v>
      </c>
      <c r="N57" s="15">
        <f>(N$26*Parameters!$E$28*Parameters!$G$28+N$27*Parameters!$G$21+N$28*Parameters!$G$18)/1000+N$41+N$42+N$43+N$44</f>
        <v>0</v>
      </c>
      <c r="O57" s="15">
        <f>(O$26*Parameters!$E$28*Parameters!$G$28+O$27*Parameters!$G$21+O$28*Parameters!$G$18)/1000+O$41+O$42+O$43+O$44</f>
        <v>0</v>
      </c>
      <c r="P57" s="15">
        <f>(P$26*Parameters!$E$28*Parameters!$G$28+P$27*Parameters!$G$21+P$28*Parameters!$G$18)/1000+P$41+P$42+P$43+P$44</f>
        <v>0</v>
      </c>
      <c r="Q57" s="15">
        <f>(Q$26*Parameters!$E$28*Parameters!$G$28+Q$27*Parameters!$G$21+Q$28*Parameters!$G$18)/1000+Q$41+Q$42+Q$43+Q$44</f>
        <v>0</v>
      </c>
      <c r="R57" s="15">
        <f>(R$26*Parameters!$E$28*Parameters!$G$28+R$27*Parameters!$G$21+R$28*Parameters!$G$18)/1000+R$41+R$42+R$43+R$44</f>
        <v>0</v>
      </c>
      <c r="S57" s="15">
        <f>(S$26*Parameters!$E$28*Parameters!$G$28+S$27*Parameters!$G$21+S$28*Parameters!$G$18)/1000+S$41+S$42+S$43+S$44</f>
        <v>0</v>
      </c>
      <c r="T57" s="15">
        <f>(T$26*Parameters!$E$28*Parameters!$G$28+T$27*Parameters!$G$21+T$28*Parameters!$G$18)/1000+T$41+T$42+T$43+T$44</f>
        <v>0</v>
      </c>
      <c r="U57" s="15">
        <f>(U$26*Parameters!$E$28*Parameters!$G$28+U$27*Parameters!$G$21+U$28*Parameters!$G$18)/1000+U$41+U$42+U$43+U$44</f>
        <v>0</v>
      </c>
      <c r="V57" s="15">
        <f>(V$26*Parameters!$E$28*Parameters!$G$28+V$27*Parameters!$G$21+V$28*Parameters!$G$18)/1000+V$41+V$42+V$43+V$44</f>
        <v>0</v>
      </c>
      <c r="W57" s="15">
        <f>(W$26*Parameters!$E$28*Parameters!$G$28+W$27*Parameters!$G$21+W$28*Parameters!$G$18)/1000+W$41+W$42+W$43+W$44</f>
        <v>0</v>
      </c>
      <c r="X57" s="15">
        <f>(X$26*Parameters!$E$28*Parameters!$G$28+X$27*Parameters!$G$21+X$28*Parameters!$G$18)/1000+X$41+X$42+X$43+X$44</f>
        <v>0</v>
      </c>
      <c r="Y57" s="15">
        <f>(Y$26*Parameters!$E$28*Parameters!$G$28+Y$27*Parameters!$G$21+Y$28*Parameters!$G$18)/1000+Y$41+Y$42+Y$43+Y$44</f>
        <v>0</v>
      </c>
      <c r="Z57" s="15">
        <f>(Z$26*Parameters!$E$28*Parameters!$G$28+Z$27*Parameters!$G$21+Z$28*Parameters!$G$18)/1000+Z$41+Z$42+Z$43+Z$44</f>
        <v>0</v>
      </c>
      <c r="AA57" s="15">
        <f>(AA$26*Parameters!$E$28*Parameters!$G$28+AA$27*Parameters!$G$21+AA$28*Parameters!$G$18)/1000+AA$41+AA$42+AA$43+AA$44</f>
        <v>0</v>
      </c>
      <c r="AB57" s="15">
        <f>(AB$26*Parameters!$E$28*Parameters!$G$28+AB$27*Parameters!$G$21+AB$28*Parameters!$G$18)/1000+AB$41+AB$42+AB$43+AB$44</f>
        <v>0</v>
      </c>
      <c r="AC57" s="15">
        <f>(AC$26*Parameters!$E$28*Parameters!$G$28+AC$27*Parameters!$G$21+AC$28*Parameters!$G$18)/1000+AC$41+AC$42+AC$43+AC$44</f>
        <v>0</v>
      </c>
      <c r="AD57" s="15">
        <f>(AD$26*Parameters!$E$28*Parameters!$G$28+AD$27*Parameters!$G$21+AD$28*Parameters!$G$18)/1000+AD$41+AD$42+AD$43+AD$44</f>
        <v>0</v>
      </c>
      <c r="AE57" s="15">
        <f>(AE$26*Parameters!$E$28*Parameters!$G$28+AE$27*Parameters!$G$21+AE$28*Parameters!$G$18)/1000+AE$41+AE$42+AE$43+AE$44</f>
        <v>0</v>
      </c>
      <c r="AF57" s="15">
        <f>(AF$26*Parameters!$E$28*Parameters!$G$28+AF$27*Parameters!$G$21+AF$28*Parameters!$G$18)/1000+AF$41+AF$42+AF$43+AF$44</f>
        <v>0</v>
      </c>
      <c r="AG57" s="15">
        <f>(AG$26*Parameters!$E$28*Parameters!$G$28+AG$27*Parameters!$G$21+AG$28*Parameters!$G$18)/1000+AG$41+AG$42+AG$43+AG$44</f>
        <v>0</v>
      </c>
      <c r="AH57" s="15">
        <f>(AH$26*Parameters!$E$28*Parameters!$G$28+AH$27*Parameters!$G$21+AH$28*Parameters!$G$18)/1000+AH$41+AH$42+AH$43+AH$44</f>
        <v>0</v>
      </c>
      <c r="AI57" s="15">
        <f>(AI$26*Parameters!$E$28*Parameters!$G$28+AI$27*Parameters!$G$21+AI$28*Parameters!$G$18)/1000+AI$41+AI$42+AI$43+AI$44</f>
        <v>0</v>
      </c>
      <c r="AJ57" s="15">
        <f>(AJ$26*Parameters!$E$28*Parameters!$G$28+AJ$27*Parameters!$G$21+AJ$28*Parameters!$G$18)/1000+AJ$41+AJ$42+AJ$43+AJ$44</f>
        <v>0</v>
      </c>
      <c r="AK57" s="15">
        <f>(AK$26*Parameters!$E$28*Parameters!$G$28+AK$27*Parameters!$G$21+AK$28*Parameters!$G$18)/1000+AK$41+AK$42+AK$43+AK$44</f>
        <v>0</v>
      </c>
      <c r="AL57" s="15">
        <f>(AL$26*Parameters!$E$28*Parameters!$G$28+AL$27*Parameters!$G$21+AL$28*Parameters!$G$18)/1000+AL$41+AL$42+AL$43+AL$44</f>
        <v>0</v>
      </c>
      <c r="AM57" s="15">
        <f>(AM$26*Parameters!$E$28*Parameters!$G$28+AM$27*Parameters!$G$21+AM$28*Parameters!$G$18)/1000+AM$41+AM$42+AM$43+AM$44</f>
        <v>0</v>
      </c>
      <c r="AN57" s="15">
        <f>(AN$26*Parameters!$E$28*Parameters!$G$28+AN$27*Parameters!$G$21+AN$28*Parameters!$G$18)/1000+AN$41+AN$42+AN$43+AN$44</f>
        <v>0</v>
      </c>
      <c r="AO57" s="15">
        <f>(AO$26*Parameters!$E$28*Parameters!$G$28+AO$27*Parameters!$G$21+AO$28*Parameters!$G$18)/1000+AO$41+AO$42+AO$43+AO$44</f>
        <v>0</v>
      </c>
      <c r="AP57" s="15">
        <f>(AP$26*Parameters!$E$28*Parameters!$G$28+AP$27*Parameters!$G$21+AP$28*Parameters!$G$18)/1000+AP$41+AP$42+AP$43+AP$44</f>
        <v>0</v>
      </c>
      <c r="AQ57" s="15">
        <f>(AQ$26*Parameters!$E$28*Parameters!$G$28+AQ$27*Parameters!$G$21+AQ$28*Parameters!$G$18)/1000+AQ$41+AQ$42+AQ$43+AQ$44</f>
        <v>0</v>
      </c>
      <c r="AR57" s="15">
        <f>(AR$26*Parameters!$E$28*Parameters!$G$28+AR$27*Parameters!$G$21+AR$28*Parameters!$G$18)/1000+AR$41+AR$42+AR$43+AR$44</f>
        <v>0</v>
      </c>
      <c r="AS57" s="15">
        <f>(AS$26*Parameters!$E$28*Parameters!$G$28+AS$27*Parameters!$G$21+AS$28*Parameters!$G$18)/1000+AS$41+AS$42+AS$43+AS$44</f>
        <v>0</v>
      </c>
      <c r="AT57" s="15">
        <f>(AT$26*Parameters!$E$28*Parameters!$G$28+AT$27*Parameters!$G$21+AT$28*Parameters!$G$18)/1000+AT$41+AT$42+AT$43+AT$44</f>
        <v>0</v>
      </c>
      <c r="AU57" s="15">
        <f>(AU$26*Parameters!$E$28*Parameters!$G$28+AU$27*Parameters!$G$21+AU$28*Parameters!$G$18)/1000+AU$41+AU$42+AU$43+AU$44</f>
        <v>0</v>
      </c>
      <c r="AV57" s="15">
        <f>(AV$26*Parameters!$E$28*Parameters!$G$28+AV$27*Parameters!$G$21+AV$28*Parameters!$G$18)/1000+AV$41+AV$42+AV$43+AV$44</f>
        <v>0</v>
      </c>
      <c r="AW57" s="15">
        <f>(AW$26*Parameters!$E$28*Parameters!$G$28+AW$27*Parameters!$G$21+AW$28*Parameters!$G$18)/1000+AW$41+AW$42+AW$43+AW$44</f>
        <v>0</v>
      </c>
      <c r="AX57" s="15">
        <f>(AX$26*Parameters!$E$28*Parameters!$G$28+AX$27*Parameters!$G$21+AX$28*Parameters!$G$18)/1000+AX$41+AX$42+AX$43+AX$44</f>
        <v>0</v>
      </c>
      <c r="AY57" s="15">
        <f>(AY$26*Parameters!$E$28*Parameters!$G$28+AY$27*Parameters!$G$21+AY$28*Parameters!$G$18)/1000+AY$41+AY$42+AY$43+AY$44</f>
        <v>0</v>
      </c>
      <c r="AZ57" s="15">
        <f>(AZ$26*Parameters!$E$28*Parameters!$G$28+AZ$27*Parameters!$G$21+AZ$28*Parameters!$G$18)/1000+AZ$41+AZ$42+AZ$43+AZ$44</f>
        <v>0</v>
      </c>
      <c r="BA57" s="15">
        <f>(BA$26*Parameters!$E$28*Parameters!$G$28+BA$27*Parameters!$G$21+BA$28*Parameters!$G$18)/1000+BA$41+BA$42+BA$43+BA$44</f>
        <v>0</v>
      </c>
      <c r="BB57" s="15">
        <f>(BB$26*Parameters!$E$28*Parameters!$G$28+BB$27*Parameters!$G$21+BB$28*Parameters!$G$18)/1000+BB$41+BB$42+BB$43+BB$44</f>
        <v>0</v>
      </c>
      <c r="BC57" s="15">
        <f>(BC$26*Parameters!$E$28*Parameters!$G$28+BC$27*Parameters!$G$21+BC$28*Parameters!$G$18)/1000+BC$41+BC$42+BC$43+BC$44</f>
        <v>0</v>
      </c>
      <c r="BD57" s="15">
        <f>(BD$26*Parameters!$E$28*Parameters!$G$28+BD$27*Parameters!$G$21+BD$28*Parameters!$G$18)/1000+BD$41+BD$42+BD$43+BD$44</f>
        <v>0</v>
      </c>
      <c r="BE57" s="15">
        <f>(BE$26*Parameters!$E$28*Parameters!$G$28+BE$27*Parameters!$G$21+BE$28*Parameters!$G$18)/1000+BE$41+BE$42+BE$43+BE$44</f>
        <v>0</v>
      </c>
      <c r="BF57" s="15">
        <f>(BF$26*Parameters!$E$28*Parameters!$G$28+BF$27*Parameters!$G$21+BF$28*Parameters!$G$18)/1000+BF$41+BF$42+BF$43+BF$44</f>
        <v>0</v>
      </c>
      <c r="BG57" s="15">
        <f>(BG$26*Parameters!$E$28*Parameters!$G$28+BG$27*Parameters!$G$21+BG$28*Parameters!$G$18)/1000+BG$41+BG$42+BG$43+BG$44</f>
        <v>0</v>
      </c>
      <c r="BH57" s="15">
        <f>(BH$26*Parameters!$E$28*Parameters!$G$28+BH$27*Parameters!$G$21+BH$28*Parameters!$G$18)/1000+BH$41+BH$42+BH$43+BH$44</f>
        <v>0</v>
      </c>
      <c r="BI57" s="15">
        <f>(BI$26*Parameters!$E$28*Parameters!$G$28+BI$27*Parameters!$G$21+BI$28*Parameters!$G$18)/1000+BI$41+BI$42+BI$43+BI$44</f>
        <v>0</v>
      </c>
    </row>
    <row r="58" spans="2:61" ht="15.6" x14ac:dyDescent="0.3">
      <c r="B58" s="2" t="s">
        <v>141</v>
      </c>
      <c r="C58" s="2" t="s">
        <v>142</v>
      </c>
      <c r="D58" s="4" t="s">
        <v>133</v>
      </c>
      <c r="E58" s="4" t="s">
        <v>140</v>
      </c>
      <c r="F58" s="15" cm="1">
        <f t="array" ref="F58">(F$24-F$25)*Grid[2024]</f>
        <v>0</v>
      </c>
      <c r="G58" s="15" cm="1">
        <f t="array" ref="G58">(G$24-G$25)*Grid[2025]</f>
        <v>0</v>
      </c>
      <c r="H58" s="15" cm="1">
        <f t="array" ref="H58">(H$24-H$25)*Grid[2026]</f>
        <v>0</v>
      </c>
      <c r="I58" s="15" cm="1">
        <f t="array" ref="I58">(I$24-I$25)*Grid[2027]</f>
        <v>0</v>
      </c>
      <c r="J58" s="15" cm="1">
        <f t="array" ref="J58">(J$24-J$25)*Grid[2028]</f>
        <v>0</v>
      </c>
      <c r="K58" s="15" cm="1">
        <f t="array" ref="K58">(K$24-K$25)*Grid[2029]</f>
        <v>0</v>
      </c>
      <c r="L58" s="15" cm="1">
        <f t="array" ref="L58">(L$24-L$25)*Grid[2030]</f>
        <v>0</v>
      </c>
      <c r="M58" s="15" cm="1">
        <f t="array" ref="M58">(M$24-M$25)*Grid[2031]</f>
        <v>0</v>
      </c>
      <c r="N58" s="15" cm="1">
        <f t="array" ref="N58">(N$24-N$25)*Grid[2032]</f>
        <v>0</v>
      </c>
      <c r="O58" s="15" cm="1">
        <f t="array" ref="O58">(O$24-O$25)*Grid[2033]</f>
        <v>0</v>
      </c>
      <c r="P58" s="15" cm="1">
        <f t="array" ref="P58">(P$24-P$25)*Grid[2034]</f>
        <v>0</v>
      </c>
      <c r="Q58" s="15" cm="1">
        <f t="array" ref="Q58">(Q$24-Q$25)*Grid[2035]</f>
        <v>0</v>
      </c>
      <c r="R58" s="15" cm="1">
        <f t="array" ref="R58">(R$24-R$25)*Grid[2036]</f>
        <v>0</v>
      </c>
      <c r="S58" s="15" cm="1">
        <f t="array" ref="S58">(S$24-S$25)*Grid[2037]</f>
        <v>0</v>
      </c>
      <c r="T58" s="15" cm="1">
        <f t="array" ref="T58">(T$24-T$25)*Grid[2038]</f>
        <v>0</v>
      </c>
      <c r="U58" s="15" cm="1">
        <f t="array" ref="U58">(U$24-U$25)*Grid[2039]</f>
        <v>0</v>
      </c>
      <c r="V58" s="15" cm="1">
        <f t="array" ref="V58">(V$24-V$25)*Grid[2040]</f>
        <v>0</v>
      </c>
      <c r="W58" s="15" cm="1">
        <f t="array" ref="W58">(W$24-W$25)*Grid[2041]</f>
        <v>0</v>
      </c>
      <c r="X58" s="15" cm="1">
        <f t="array" ref="X58">(X$24-X$25)*Grid[2042]</f>
        <v>0</v>
      </c>
      <c r="Y58" s="15" cm="1">
        <f t="array" ref="Y58">(Y$24-Y$25)*Grid[2043]</f>
        <v>0</v>
      </c>
      <c r="Z58" s="15" cm="1">
        <f t="array" ref="Z58">(Z$24-Z$25)*Grid[2044]</f>
        <v>0</v>
      </c>
      <c r="AA58" s="15" cm="1">
        <f t="array" ref="AA58">(AA$24-AA$25)*Grid[2045]</f>
        <v>0</v>
      </c>
      <c r="AB58" s="15" cm="1">
        <f t="array" ref="AB58">(AB$24-AB$25)*Grid[2046]</f>
        <v>0</v>
      </c>
      <c r="AC58" s="15" cm="1">
        <f t="array" ref="AC58">(AC$24-AC$25)*Grid[2047]</f>
        <v>0</v>
      </c>
      <c r="AD58" s="15" cm="1">
        <f t="array" ref="AD58">(AD$24-AD$25)*Grid[2048]</f>
        <v>0</v>
      </c>
      <c r="AE58" s="15" cm="1">
        <f t="array" ref="AE58">(AE$24-AE$25)*Grid[2049]</f>
        <v>0</v>
      </c>
      <c r="AF58" s="15" cm="1">
        <f t="array" ref="AF58">(AF$24-AF$25)*Grid[2050]</f>
        <v>0</v>
      </c>
      <c r="AG58" s="15" cm="1">
        <f t="array" ref="AG58">(AG$24-AG$25)*Grid[2051]</f>
        <v>0</v>
      </c>
      <c r="AH58" s="15" cm="1">
        <f t="array" ref="AH58">(AH$24-AH$25)*Grid[2052]</f>
        <v>0</v>
      </c>
      <c r="AI58" s="15" cm="1">
        <f t="array" ref="AI58">(AI$24-AI$25)*Grid[2053]</f>
        <v>0</v>
      </c>
      <c r="AJ58" s="15" cm="1">
        <f t="array" ref="AJ58">(AJ$24-AJ$25)*Grid[2054]</f>
        <v>0</v>
      </c>
      <c r="AK58" s="15" cm="1">
        <f t="array" ref="AK58">(AK$24-AK$25)*Grid[2055]</f>
        <v>0</v>
      </c>
      <c r="AL58" s="15" cm="1">
        <f t="array" ref="AL58">(AL$24-AL$25)*Grid[2056]</f>
        <v>0</v>
      </c>
      <c r="AM58" s="15" cm="1">
        <f t="array" ref="AM58">(AM$24-AM$25)*Grid[2057]</f>
        <v>0</v>
      </c>
      <c r="AN58" s="15" cm="1">
        <f t="array" ref="AN58">(AN$24-AN$25)*Grid[2058]</f>
        <v>0</v>
      </c>
      <c r="AO58" s="15" cm="1">
        <f t="array" ref="AO58">(AO$24-AO$25)*Grid[2059]</f>
        <v>0</v>
      </c>
      <c r="AP58" s="15" cm="1">
        <f t="array" ref="AP58">(AP$24-AP$25)*Grid[2060]</f>
        <v>0</v>
      </c>
      <c r="AQ58" s="15" cm="1">
        <f t="array" ref="AQ58">(AQ$24-AQ$25)*Grid[2061]</f>
        <v>0</v>
      </c>
      <c r="AR58" s="15" cm="1">
        <f t="array" ref="AR58">(AR$24-AR$25)*Grid[2062]</f>
        <v>0</v>
      </c>
      <c r="AS58" s="15" cm="1">
        <f t="array" ref="AS58">(AS$24-AS$25)*Grid[2063]</f>
        <v>0</v>
      </c>
      <c r="AT58" s="15" cm="1">
        <f t="array" ref="AT58">(AT$24-AT$25)*Grid[2064]</f>
        <v>0</v>
      </c>
      <c r="AU58" s="15" cm="1">
        <f t="array" ref="AU58">(AU$24-AU$25)*Grid[2065]</f>
        <v>0</v>
      </c>
      <c r="AV58" s="15" cm="1">
        <f t="array" ref="AV58">(AV$24-AV$25)*Grid[2066]</f>
        <v>0</v>
      </c>
      <c r="AW58" s="15" cm="1">
        <f t="array" ref="AW58">(AW$24-AW$25)*Grid[2067]</f>
        <v>0</v>
      </c>
      <c r="AX58" s="15" cm="1">
        <f t="array" ref="AX58">(AX$24-AX$25)*Grid[2068]</f>
        <v>0</v>
      </c>
      <c r="AY58" s="15" cm="1">
        <f t="array" ref="AY58">(AY$24-AY$25)*Grid[2069]</f>
        <v>0</v>
      </c>
      <c r="AZ58" s="15" cm="1">
        <f t="array" ref="AZ58">(AZ$24-AZ$25)*Grid[2070]</f>
        <v>0</v>
      </c>
      <c r="BA58" s="15" cm="1">
        <f t="array" ref="BA58">(BA$24-BA$25)*Grid[2071]</f>
        <v>0</v>
      </c>
      <c r="BB58" s="15" cm="1">
        <f t="array" ref="BB58">(BB$24-BB$25)*Grid[2072]</f>
        <v>0</v>
      </c>
      <c r="BC58" s="15" cm="1">
        <f t="array" ref="BC58">(BC$24-BC$25)*Grid[2073]</f>
        <v>0</v>
      </c>
      <c r="BD58" s="15" cm="1">
        <f t="array" ref="BD58">(BD$24-BD$25)*Grid[2074]</f>
        <v>0</v>
      </c>
      <c r="BE58" s="15" cm="1">
        <f t="array" ref="BE58">(BE$24-BE$25)*Grid[2075]</f>
        <v>0</v>
      </c>
      <c r="BF58" s="15" cm="1">
        <f t="array" ref="BF58">(BF$24-BF$25)*Grid[2076]</f>
        <v>0</v>
      </c>
      <c r="BG58" s="15" cm="1">
        <f t="array" ref="BG58">(BG$24-BG$25)*Grid[2077]</f>
        <v>0</v>
      </c>
      <c r="BH58" s="15" cm="1">
        <f t="array" ref="BH58">(BH$24-BH$25)*Grid[2078]</f>
        <v>0</v>
      </c>
      <c r="BI58" s="15" cm="1">
        <f t="array" ref="BI58">(BI$24-BI$25)*Grid[2079]</f>
        <v>0</v>
      </c>
    </row>
    <row r="59" spans="2:61" ht="15.6" x14ac:dyDescent="0.3">
      <c r="B59" s="2" t="s">
        <v>145</v>
      </c>
      <c r="D59" s="4" t="s">
        <v>133</v>
      </c>
      <c r="E59" s="4" t="s">
        <v>140</v>
      </c>
      <c r="F59" s="15">
        <f>SUBTOTAL(109,ProjTEm[FY24/25])</f>
        <v>0</v>
      </c>
      <c r="G59" s="15">
        <f>SUBTOTAL(109,ProjTEm[FY25/26])</f>
        <v>0</v>
      </c>
      <c r="H59" s="15">
        <f>SUBTOTAL(109,ProjTEm[FY26/27])</f>
        <v>0</v>
      </c>
      <c r="I59" s="15">
        <f>SUBTOTAL(109,ProjTEm[FY27/28])</f>
        <v>0</v>
      </c>
      <c r="J59" s="15">
        <f>SUBTOTAL(109,ProjTEm[FY28/29])</f>
        <v>0</v>
      </c>
      <c r="K59" s="15">
        <f>SUBTOTAL(109,ProjTEm[FY29/30])</f>
        <v>0</v>
      </c>
      <c r="L59" s="15">
        <f>SUBTOTAL(109,ProjTEm[FY30/31])</f>
        <v>0</v>
      </c>
      <c r="M59" s="15">
        <f>SUBTOTAL(109,ProjTEm[FY31/32])</f>
        <v>0</v>
      </c>
      <c r="N59" s="15">
        <f>SUBTOTAL(109,ProjTEm[FY32/33])</f>
        <v>0</v>
      </c>
      <c r="O59" s="15">
        <f>SUBTOTAL(109,ProjTEm[FY33/34])</f>
        <v>0</v>
      </c>
      <c r="P59" s="15">
        <f>SUBTOTAL(109,ProjTEm[FY34/35])</f>
        <v>0</v>
      </c>
      <c r="Q59" s="15">
        <f>SUBTOTAL(109,ProjTEm[FY35/36])</f>
        <v>0</v>
      </c>
      <c r="R59" s="15">
        <f>SUBTOTAL(109,ProjTEm[FY36/37])</f>
        <v>0</v>
      </c>
      <c r="S59" s="15">
        <f>SUBTOTAL(109,ProjTEm[FY37/38])</f>
        <v>0</v>
      </c>
      <c r="T59" s="15">
        <f>SUBTOTAL(109,ProjTEm[FY38/39])</f>
        <v>0</v>
      </c>
      <c r="U59" s="15">
        <f>SUBTOTAL(109,ProjTEm[FY39/40])</f>
        <v>0</v>
      </c>
      <c r="V59" s="15">
        <f>SUBTOTAL(109,ProjTEm[FY40/41])</f>
        <v>0</v>
      </c>
      <c r="W59" s="15">
        <f>SUBTOTAL(109,ProjTEm[FY41/42])</f>
        <v>0</v>
      </c>
      <c r="X59" s="15">
        <f>SUBTOTAL(109,ProjTEm[FY42/43])</f>
        <v>0</v>
      </c>
      <c r="Y59" s="15">
        <f>SUBTOTAL(109,ProjTEm[FY43/44])</f>
        <v>0</v>
      </c>
      <c r="Z59" s="15">
        <f>SUBTOTAL(109,ProjTEm[FY44/45])</f>
        <v>0</v>
      </c>
      <c r="AA59" s="15">
        <f>SUBTOTAL(109,ProjTEm[FY45/46])</f>
        <v>0</v>
      </c>
      <c r="AB59" s="15">
        <f>SUBTOTAL(109,ProjTEm[FY46/47])</f>
        <v>0</v>
      </c>
      <c r="AC59" s="15">
        <f>SUBTOTAL(109,ProjTEm[FY47/48])</f>
        <v>0</v>
      </c>
      <c r="AD59" s="15">
        <f>SUBTOTAL(109,ProjTEm[FY48/49])</f>
        <v>0</v>
      </c>
      <c r="AE59" s="15">
        <f>SUBTOTAL(109,ProjTEm[FY49/50])</f>
        <v>0</v>
      </c>
      <c r="AF59" s="15">
        <f>SUBTOTAL(109,ProjTEm[FY50/51])</f>
        <v>0</v>
      </c>
      <c r="AG59" s="15">
        <f>SUBTOTAL(109,ProjTEm[FY51/52])</f>
        <v>0</v>
      </c>
      <c r="AH59" s="15">
        <f>SUBTOTAL(109,ProjTEm[FY52/53])</f>
        <v>0</v>
      </c>
      <c r="AI59" s="15">
        <f>SUBTOTAL(109,ProjTEm[FY53/54])</f>
        <v>0</v>
      </c>
      <c r="AJ59" s="15">
        <f>SUBTOTAL(109,ProjTEm[FY54/55])</f>
        <v>0</v>
      </c>
      <c r="AK59" s="15">
        <f>SUBTOTAL(109,ProjTEm[FY55/56])</f>
        <v>0</v>
      </c>
      <c r="AL59" s="15">
        <f>SUBTOTAL(109,ProjTEm[FY56/57])</f>
        <v>0</v>
      </c>
      <c r="AM59" s="15">
        <f>SUBTOTAL(109,ProjTEm[FY57/58])</f>
        <v>0</v>
      </c>
      <c r="AN59" s="15">
        <f>SUBTOTAL(109,ProjTEm[FY58/59])</f>
        <v>0</v>
      </c>
      <c r="AO59" s="15">
        <f>SUBTOTAL(109,ProjTEm[FY59/60])</f>
        <v>0</v>
      </c>
      <c r="AP59" s="15">
        <f>SUBTOTAL(109,ProjTEm[FY60/61])</f>
        <v>0</v>
      </c>
      <c r="AQ59" s="15">
        <f>SUBTOTAL(109,ProjTEm[FY61/62])</f>
        <v>0</v>
      </c>
      <c r="AR59" s="15">
        <f>SUBTOTAL(109,ProjTEm[FY62/63])</f>
        <v>0</v>
      </c>
      <c r="AS59" s="15">
        <f>SUBTOTAL(109,ProjTEm[FY63/64])</f>
        <v>0</v>
      </c>
      <c r="AT59" s="15">
        <f>SUBTOTAL(109,ProjTEm[FY64/65])</f>
        <v>0</v>
      </c>
      <c r="AU59" s="15">
        <f>SUBTOTAL(109,ProjTEm[FY65/66])</f>
        <v>0</v>
      </c>
      <c r="AV59" s="15">
        <f>SUBTOTAL(109,ProjTEm[FY66/67])</f>
        <v>0</v>
      </c>
      <c r="AW59" s="15">
        <f>SUBTOTAL(109,ProjTEm[FY67/68])</f>
        <v>0</v>
      </c>
      <c r="AX59" s="15">
        <f>SUBTOTAL(109,ProjTEm[FY68/69])</f>
        <v>0</v>
      </c>
      <c r="AY59" s="15">
        <f>SUBTOTAL(109,ProjTEm[FY69/70])</f>
        <v>0</v>
      </c>
      <c r="AZ59" s="15">
        <f>SUBTOTAL(109,ProjTEm[FY70/71])</f>
        <v>0</v>
      </c>
      <c r="BA59" s="15">
        <f>SUBTOTAL(109,ProjTEm[FY71/72])</f>
        <v>0</v>
      </c>
      <c r="BB59" s="15">
        <f>SUBTOTAL(109,ProjTEm[FY72/73])</f>
        <v>0</v>
      </c>
      <c r="BC59" s="15">
        <f>SUBTOTAL(109,ProjTEm[FY73/74])</f>
        <v>0</v>
      </c>
      <c r="BD59" s="15">
        <f>SUBTOTAL(109,ProjTEm[FY74/75])</f>
        <v>0</v>
      </c>
      <c r="BE59" s="15">
        <f>SUBTOTAL(109,ProjTEm[FY75/76])</f>
        <v>0</v>
      </c>
      <c r="BF59" s="15">
        <f>SUBTOTAL(109,ProjTEm[FY76/77])</f>
        <v>0</v>
      </c>
      <c r="BG59" s="15">
        <f>SUBTOTAL(109,ProjTEm[FY77/78])</f>
        <v>0</v>
      </c>
      <c r="BH59" s="15">
        <f>SUBTOTAL(109,ProjTEm[FY78/79])</f>
        <v>0</v>
      </c>
      <c r="BI59" s="15">
        <f>SUBTOTAL(109,ProjTEm[FY79/80])</f>
        <v>0</v>
      </c>
    </row>
    <row r="60" spans="2:61" x14ac:dyDescent="0.3">
      <c r="D60" s="4"/>
      <c r="E60" s="4"/>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row>
    <row r="61" spans="2:61" x14ac:dyDescent="0.3">
      <c r="D61" s="4"/>
      <c r="E61" s="4"/>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row>
    <row r="62" spans="2:61" ht="15.6" x14ac:dyDescent="0.3">
      <c r="B62" s="1" t="s">
        <v>146</v>
      </c>
      <c r="D62" s="4"/>
      <c r="E62" s="4"/>
    </row>
    <row r="63" spans="2:61" x14ac:dyDescent="0.3">
      <c r="B63" s="3" t="s">
        <v>147</v>
      </c>
      <c r="D63" s="4"/>
      <c r="E63" s="4"/>
    </row>
    <row r="64" spans="2:61" x14ac:dyDescent="0.3">
      <c r="B64" s="4" t="s">
        <v>46</v>
      </c>
      <c r="C64" s="4" t="s">
        <v>47</v>
      </c>
      <c r="D64" s="4" t="s">
        <v>130</v>
      </c>
      <c r="E64" s="4" t="s">
        <v>58</v>
      </c>
      <c r="F64" s="4" t="s">
        <v>59</v>
      </c>
      <c r="G64" s="4" t="s">
        <v>60</v>
      </c>
      <c r="H64" s="4" t="s">
        <v>53</v>
      </c>
      <c r="I64" s="4" t="s">
        <v>61</v>
      </c>
      <c r="J64" s="4" t="s">
        <v>62</v>
      </c>
      <c r="K64" s="4" t="s">
        <v>63</v>
      </c>
      <c r="L64" s="4" t="s">
        <v>64</v>
      </c>
      <c r="M64" s="4" t="s">
        <v>65</v>
      </c>
      <c r="N64" s="4" t="s">
        <v>66</v>
      </c>
      <c r="O64" s="4" t="s">
        <v>67</v>
      </c>
      <c r="P64" s="4" t="s">
        <v>68</v>
      </c>
      <c r="Q64" s="4" t="s">
        <v>69</v>
      </c>
      <c r="R64" s="4" t="s">
        <v>70</v>
      </c>
      <c r="S64" s="4" t="s">
        <v>71</v>
      </c>
      <c r="T64" s="4" t="s">
        <v>72</v>
      </c>
      <c r="U64" s="4" t="s">
        <v>73</v>
      </c>
      <c r="V64" s="4" t="s">
        <v>74</v>
      </c>
      <c r="W64" s="4" t="s">
        <v>75</v>
      </c>
      <c r="X64" s="4" t="s">
        <v>76</v>
      </c>
      <c r="Y64" s="4" t="s">
        <v>77</v>
      </c>
      <c r="Z64" s="4" t="s">
        <v>78</v>
      </c>
      <c r="AA64" s="4" t="s">
        <v>79</v>
      </c>
      <c r="AB64" s="4" t="s">
        <v>80</v>
      </c>
      <c r="AC64" s="4" t="s">
        <v>81</v>
      </c>
      <c r="AD64" s="4" t="s">
        <v>82</v>
      </c>
      <c r="AE64" s="4" t="s">
        <v>83</v>
      </c>
      <c r="AF64" s="4" t="s">
        <v>84</v>
      </c>
      <c r="AG64" s="4" t="s">
        <v>85</v>
      </c>
      <c r="AH64" s="4" t="s">
        <v>86</v>
      </c>
      <c r="AI64" s="4" t="s">
        <v>87</v>
      </c>
      <c r="AJ64" s="4" t="s">
        <v>88</v>
      </c>
      <c r="AK64" s="4" t="s">
        <v>89</v>
      </c>
      <c r="AL64" s="4" t="s">
        <v>90</v>
      </c>
      <c r="AM64" s="4" t="s">
        <v>91</v>
      </c>
      <c r="AN64" s="4" t="s">
        <v>92</v>
      </c>
      <c r="AO64" s="4" t="s">
        <v>93</v>
      </c>
      <c r="AP64" s="4" t="s">
        <v>94</v>
      </c>
      <c r="AQ64" s="4" t="s">
        <v>95</v>
      </c>
      <c r="AR64" s="4" t="s">
        <v>96</v>
      </c>
      <c r="AS64" s="4" t="s">
        <v>97</v>
      </c>
      <c r="AT64" s="4" t="s">
        <v>98</v>
      </c>
      <c r="AU64" s="4" t="s">
        <v>99</v>
      </c>
      <c r="AV64" s="4" t="s">
        <v>100</v>
      </c>
      <c r="AW64" s="4" t="s">
        <v>101</v>
      </c>
      <c r="AX64" s="4" t="s">
        <v>102</v>
      </c>
      <c r="AY64" s="4" t="s">
        <v>103</v>
      </c>
      <c r="AZ64" s="4" t="s">
        <v>104</v>
      </c>
      <c r="BA64" s="4" t="s">
        <v>105</v>
      </c>
      <c r="BB64" s="4" t="s">
        <v>106</v>
      </c>
      <c r="BC64" s="4" t="s">
        <v>107</v>
      </c>
      <c r="BD64" s="4" t="s">
        <v>108</v>
      </c>
      <c r="BE64" s="4" t="s">
        <v>109</v>
      </c>
      <c r="BF64" s="4" t="s">
        <v>110</v>
      </c>
      <c r="BG64" s="4" t="s">
        <v>111</v>
      </c>
      <c r="BH64" s="4" t="s">
        <v>112</v>
      </c>
      <c r="BI64" s="4" t="s">
        <v>113</v>
      </c>
    </row>
    <row r="65" spans="2:61" ht="15.6" x14ac:dyDescent="0.3">
      <c r="B65" s="2" t="s">
        <v>148</v>
      </c>
      <c r="C65" s="2" t="s">
        <v>149</v>
      </c>
      <c r="D65" s="4" t="s">
        <v>133</v>
      </c>
      <c r="E65" s="4" t="s">
        <v>140</v>
      </c>
      <c r="F65" s="15">
        <f t="shared" ref="F65:BI65" si="0">F$51-F$57</f>
        <v>0</v>
      </c>
      <c r="G65" s="15">
        <f t="shared" si="0"/>
        <v>0</v>
      </c>
      <c r="H65" s="15">
        <f t="shared" si="0"/>
        <v>0</v>
      </c>
      <c r="I65" s="15">
        <f t="shared" si="0"/>
        <v>0</v>
      </c>
      <c r="J65" s="15">
        <f t="shared" si="0"/>
        <v>0</v>
      </c>
      <c r="K65" s="15">
        <f t="shared" si="0"/>
        <v>0</v>
      </c>
      <c r="L65" s="15">
        <f t="shared" si="0"/>
        <v>0</v>
      </c>
      <c r="M65" s="15">
        <f t="shared" si="0"/>
        <v>0</v>
      </c>
      <c r="N65" s="15">
        <f t="shared" si="0"/>
        <v>0</v>
      </c>
      <c r="O65" s="15">
        <f t="shared" si="0"/>
        <v>0</v>
      </c>
      <c r="P65" s="15">
        <f t="shared" si="0"/>
        <v>0</v>
      </c>
      <c r="Q65" s="15">
        <f t="shared" si="0"/>
        <v>0</v>
      </c>
      <c r="R65" s="15">
        <f t="shared" si="0"/>
        <v>0</v>
      </c>
      <c r="S65" s="15">
        <f t="shared" si="0"/>
        <v>0</v>
      </c>
      <c r="T65" s="15">
        <f t="shared" si="0"/>
        <v>0</v>
      </c>
      <c r="U65" s="15">
        <f t="shared" si="0"/>
        <v>0</v>
      </c>
      <c r="V65" s="15">
        <f t="shared" si="0"/>
        <v>0</v>
      </c>
      <c r="W65" s="15">
        <f t="shared" si="0"/>
        <v>0</v>
      </c>
      <c r="X65" s="15">
        <f t="shared" si="0"/>
        <v>0</v>
      </c>
      <c r="Y65" s="15">
        <f t="shared" si="0"/>
        <v>0</v>
      </c>
      <c r="Z65" s="15">
        <f t="shared" si="0"/>
        <v>0</v>
      </c>
      <c r="AA65" s="15">
        <f t="shared" si="0"/>
        <v>0</v>
      </c>
      <c r="AB65" s="15">
        <f t="shared" si="0"/>
        <v>0</v>
      </c>
      <c r="AC65" s="15">
        <f t="shared" si="0"/>
        <v>0</v>
      </c>
      <c r="AD65" s="15">
        <f t="shared" si="0"/>
        <v>0</v>
      </c>
      <c r="AE65" s="15">
        <f t="shared" si="0"/>
        <v>0</v>
      </c>
      <c r="AF65" s="15">
        <f t="shared" si="0"/>
        <v>0</v>
      </c>
      <c r="AG65" s="15">
        <f t="shared" si="0"/>
        <v>0</v>
      </c>
      <c r="AH65" s="15">
        <f t="shared" si="0"/>
        <v>0</v>
      </c>
      <c r="AI65" s="15">
        <f t="shared" si="0"/>
        <v>0</v>
      </c>
      <c r="AJ65" s="15">
        <f t="shared" si="0"/>
        <v>0</v>
      </c>
      <c r="AK65" s="15">
        <f t="shared" si="0"/>
        <v>0</v>
      </c>
      <c r="AL65" s="15">
        <f t="shared" si="0"/>
        <v>0</v>
      </c>
      <c r="AM65" s="15">
        <f t="shared" si="0"/>
        <v>0</v>
      </c>
      <c r="AN65" s="15">
        <f t="shared" si="0"/>
        <v>0</v>
      </c>
      <c r="AO65" s="15">
        <f t="shared" si="0"/>
        <v>0</v>
      </c>
      <c r="AP65" s="15">
        <f t="shared" si="0"/>
        <v>0</v>
      </c>
      <c r="AQ65" s="15">
        <f t="shared" si="0"/>
        <v>0</v>
      </c>
      <c r="AR65" s="15">
        <f t="shared" si="0"/>
        <v>0</v>
      </c>
      <c r="AS65" s="15">
        <f t="shared" si="0"/>
        <v>0</v>
      </c>
      <c r="AT65" s="15">
        <f t="shared" si="0"/>
        <v>0</v>
      </c>
      <c r="AU65" s="15">
        <f t="shared" si="0"/>
        <v>0</v>
      </c>
      <c r="AV65" s="15">
        <f t="shared" si="0"/>
        <v>0</v>
      </c>
      <c r="AW65" s="15">
        <f t="shared" si="0"/>
        <v>0</v>
      </c>
      <c r="AX65" s="15">
        <f t="shared" si="0"/>
        <v>0</v>
      </c>
      <c r="AY65" s="15">
        <f t="shared" si="0"/>
        <v>0</v>
      </c>
      <c r="AZ65" s="15">
        <f t="shared" si="0"/>
        <v>0</v>
      </c>
      <c r="BA65" s="15">
        <f t="shared" si="0"/>
        <v>0</v>
      </c>
      <c r="BB65" s="15">
        <f t="shared" si="0"/>
        <v>0</v>
      </c>
      <c r="BC65" s="15">
        <f t="shared" si="0"/>
        <v>0</v>
      </c>
      <c r="BD65" s="15">
        <f t="shared" si="0"/>
        <v>0</v>
      </c>
      <c r="BE65" s="15">
        <f t="shared" si="0"/>
        <v>0</v>
      </c>
      <c r="BF65" s="15">
        <f t="shared" si="0"/>
        <v>0</v>
      </c>
      <c r="BG65" s="15">
        <f t="shared" si="0"/>
        <v>0</v>
      </c>
      <c r="BH65" s="15">
        <f t="shared" si="0"/>
        <v>0</v>
      </c>
      <c r="BI65" s="15">
        <f t="shared" si="0"/>
        <v>0</v>
      </c>
    </row>
    <row r="66" spans="2:61" ht="15.6" x14ac:dyDescent="0.3">
      <c r="B66" s="2" t="s">
        <v>150</v>
      </c>
      <c r="C66" s="2" t="s">
        <v>151</v>
      </c>
      <c r="D66" s="4" t="s">
        <v>133</v>
      </c>
      <c r="E66" s="4" t="s">
        <v>140</v>
      </c>
      <c r="F66" s="15">
        <f>F$52-F$58</f>
        <v>0</v>
      </c>
      <c r="G66" s="15">
        <f t="shared" ref="G66:N66" si="1">G$52-G$58</f>
        <v>0</v>
      </c>
      <c r="H66" s="15">
        <f t="shared" si="1"/>
        <v>0</v>
      </c>
      <c r="I66" s="15">
        <f t="shared" si="1"/>
        <v>0</v>
      </c>
      <c r="J66" s="15">
        <f t="shared" si="1"/>
        <v>0</v>
      </c>
      <c r="K66" s="15">
        <f t="shared" si="1"/>
        <v>0</v>
      </c>
      <c r="L66" s="15">
        <f t="shared" si="1"/>
        <v>0</v>
      </c>
      <c r="M66" s="15">
        <f t="shared" si="1"/>
        <v>0</v>
      </c>
      <c r="N66" s="15">
        <f t="shared" si="1"/>
        <v>0</v>
      </c>
      <c r="O66" s="15">
        <f t="shared" ref="O66:BI66" si="2">O$52-O$58</f>
        <v>0</v>
      </c>
      <c r="P66" s="15">
        <f t="shared" si="2"/>
        <v>0</v>
      </c>
      <c r="Q66" s="15">
        <f t="shared" si="2"/>
        <v>0</v>
      </c>
      <c r="R66" s="15">
        <f t="shared" si="2"/>
        <v>0</v>
      </c>
      <c r="S66" s="15">
        <f t="shared" si="2"/>
        <v>0</v>
      </c>
      <c r="T66" s="15">
        <f t="shared" si="2"/>
        <v>0</v>
      </c>
      <c r="U66" s="15">
        <f t="shared" si="2"/>
        <v>0</v>
      </c>
      <c r="V66" s="15">
        <f t="shared" si="2"/>
        <v>0</v>
      </c>
      <c r="W66" s="15">
        <f t="shared" si="2"/>
        <v>0</v>
      </c>
      <c r="X66" s="15">
        <f t="shared" si="2"/>
        <v>0</v>
      </c>
      <c r="Y66" s="15">
        <f t="shared" si="2"/>
        <v>0</v>
      </c>
      <c r="Z66" s="15">
        <f t="shared" si="2"/>
        <v>0</v>
      </c>
      <c r="AA66" s="15">
        <f t="shared" si="2"/>
        <v>0</v>
      </c>
      <c r="AB66" s="15">
        <f t="shared" si="2"/>
        <v>0</v>
      </c>
      <c r="AC66" s="15">
        <f t="shared" si="2"/>
        <v>0</v>
      </c>
      <c r="AD66" s="15">
        <f t="shared" si="2"/>
        <v>0</v>
      </c>
      <c r="AE66" s="15">
        <f t="shared" si="2"/>
        <v>0</v>
      </c>
      <c r="AF66" s="15">
        <f t="shared" si="2"/>
        <v>0</v>
      </c>
      <c r="AG66" s="15">
        <f t="shared" si="2"/>
        <v>0</v>
      </c>
      <c r="AH66" s="15">
        <f t="shared" si="2"/>
        <v>0</v>
      </c>
      <c r="AI66" s="15">
        <f t="shared" si="2"/>
        <v>0</v>
      </c>
      <c r="AJ66" s="15">
        <f t="shared" si="2"/>
        <v>0</v>
      </c>
      <c r="AK66" s="15">
        <f t="shared" si="2"/>
        <v>0</v>
      </c>
      <c r="AL66" s="15">
        <f t="shared" si="2"/>
        <v>0</v>
      </c>
      <c r="AM66" s="15">
        <f t="shared" si="2"/>
        <v>0</v>
      </c>
      <c r="AN66" s="15">
        <f t="shared" si="2"/>
        <v>0</v>
      </c>
      <c r="AO66" s="15">
        <f t="shared" si="2"/>
        <v>0</v>
      </c>
      <c r="AP66" s="15">
        <f t="shared" si="2"/>
        <v>0</v>
      </c>
      <c r="AQ66" s="15">
        <f t="shared" si="2"/>
        <v>0</v>
      </c>
      <c r="AR66" s="15">
        <f t="shared" si="2"/>
        <v>0</v>
      </c>
      <c r="AS66" s="15">
        <f t="shared" si="2"/>
        <v>0</v>
      </c>
      <c r="AT66" s="15">
        <f t="shared" si="2"/>
        <v>0</v>
      </c>
      <c r="AU66" s="15">
        <f t="shared" si="2"/>
        <v>0</v>
      </c>
      <c r="AV66" s="15">
        <f t="shared" si="2"/>
        <v>0</v>
      </c>
      <c r="AW66" s="15">
        <f t="shared" si="2"/>
        <v>0</v>
      </c>
      <c r="AX66" s="15">
        <f t="shared" si="2"/>
        <v>0</v>
      </c>
      <c r="AY66" s="15">
        <f t="shared" si="2"/>
        <v>0</v>
      </c>
      <c r="AZ66" s="15">
        <f t="shared" si="2"/>
        <v>0</v>
      </c>
      <c r="BA66" s="15">
        <f t="shared" si="2"/>
        <v>0</v>
      </c>
      <c r="BB66" s="15">
        <f t="shared" si="2"/>
        <v>0</v>
      </c>
      <c r="BC66" s="15">
        <f t="shared" si="2"/>
        <v>0</v>
      </c>
      <c r="BD66" s="15">
        <f t="shared" si="2"/>
        <v>0</v>
      </c>
      <c r="BE66" s="15">
        <f t="shared" si="2"/>
        <v>0</v>
      </c>
      <c r="BF66" s="15">
        <f t="shared" si="2"/>
        <v>0</v>
      </c>
      <c r="BG66" s="15">
        <f t="shared" si="2"/>
        <v>0</v>
      </c>
      <c r="BH66" s="15">
        <f t="shared" si="2"/>
        <v>0</v>
      </c>
      <c r="BI66" s="15">
        <f t="shared" si="2"/>
        <v>0</v>
      </c>
    </row>
    <row r="67" spans="2:61" ht="15.6" x14ac:dyDescent="0.3">
      <c r="B67" s="2" t="s">
        <v>146</v>
      </c>
      <c r="D67" s="4" t="s">
        <v>133</v>
      </c>
      <c r="E67" s="4" t="s">
        <v>140</v>
      </c>
      <c r="F67" s="15">
        <f>SUBTOTAL(109,ProjAbate[FY24/25])</f>
        <v>0</v>
      </c>
      <c r="G67" s="15">
        <f>SUBTOTAL(109,ProjAbate[FY25/26])</f>
        <v>0</v>
      </c>
      <c r="H67" s="15">
        <f>SUBTOTAL(109,ProjAbate[FY26/27])</f>
        <v>0</v>
      </c>
      <c r="I67" s="15">
        <f>SUBTOTAL(109,ProjAbate[FY27/28])</f>
        <v>0</v>
      </c>
      <c r="J67" s="15">
        <f>SUBTOTAL(109,ProjAbate[FY28/29])</f>
        <v>0</v>
      </c>
      <c r="K67" s="15">
        <f>SUBTOTAL(109,ProjAbate[FY29/30])</f>
        <v>0</v>
      </c>
      <c r="L67" s="15">
        <f>SUBTOTAL(109,ProjAbate[FY30/31])</f>
        <v>0</v>
      </c>
      <c r="M67" s="15">
        <f>SUBTOTAL(109,ProjAbate[FY31/32])</f>
        <v>0</v>
      </c>
      <c r="N67" s="15">
        <f>SUBTOTAL(109,ProjAbate[FY32/33])</f>
        <v>0</v>
      </c>
      <c r="O67" s="15">
        <f>SUBTOTAL(109,ProjAbate[FY33/34])</f>
        <v>0</v>
      </c>
      <c r="P67" s="15">
        <f>SUBTOTAL(109,ProjAbate[FY34/35])</f>
        <v>0</v>
      </c>
      <c r="Q67" s="15">
        <f>SUBTOTAL(109,ProjAbate[FY35/36])</f>
        <v>0</v>
      </c>
      <c r="R67" s="15">
        <f>SUBTOTAL(109,ProjAbate[FY36/37])</f>
        <v>0</v>
      </c>
      <c r="S67" s="15">
        <f>SUBTOTAL(109,ProjAbate[FY37/38])</f>
        <v>0</v>
      </c>
      <c r="T67" s="15">
        <f>SUBTOTAL(109,ProjAbate[FY38/39])</f>
        <v>0</v>
      </c>
      <c r="U67" s="15">
        <f>SUBTOTAL(109,ProjAbate[FY39/40])</f>
        <v>0</v>
      </c>
      <c r="V67" s="15">
        <f>SUBTOTAL(109,ProjAbate[FY40/41])</f>
        <v>0</v>
      </c>
      <c r="W67" s="15">
        <f>SUBTOTAL(109,ProjAbate[FY41/42])</f>
        <v>0</v>
      </c>
      <c r="X67" s="15">
        <f>SUBTOTAL(109,ProjAbate[FY42/43])</f>
        <v>0</v>
      </c>
      <c r="Y67" s="15">
        <f>SUBTOTAL(109,ProjAbate[FY43/44])</f>
        <v>0</v>
      </c>
      <c r="Z67" s="15">
        <f>SUBTOTAL(109,ProjAbate[FY44/45])</f>
        <v>0</v>
      </c>
      <c r="AA67" s="15">
        <f>SUBTOTAL(109,ProjAbate[FY45/46])</f>
        <v>0</v>
      </c>
      <c r="AB67" s="15">
        <f>SUBTOTAL(109,ProjAbate[FY46/47])</f>
        <v>0</v>
      </c>
      <c r="AC67" s="15">
        <f>SUBTOTAL(109,ProjAbate[FY47/48])</f>
        <v>0</v>
      </c>
      <c r="AD67" s="15">
        <f>SUBTOTAL(109,ProjAbate[FY48/49])</f>
        <v>0</v>
      </c>
      <c r="AE67" s="15">
        <f>SUBTOTAL(109,ProjAbate[FY49/50])</f>
        <v>0</v>
      </c>
      <c r="AF67" s="15">
        <f>SUBTOTAL(109,ProjAbate[FY50/51])</f>
        <v>0</v>
      </c>
      <c r="AG67" s="15">
        <f>SUBTOTAL(109,ProjAbate[FY51/52])</f>
        <v>0</v>
      </c>
      <c r="AH67" s="15">
        <f>SUBTOTAL(109,ProjAbate[FY52/53])</f>
        <v>0</v>
      </c>
      <c r="AI67" s="15">
        <f>SUBTOTAL(109,ProjAbate[FY53/54])</f>
        <v>0</v>
      </c>
      <c r="AJ67" s="15">
        <f>SUBTOTAL(109,ProjAbate[FY54/55])</f>
        <v>0</v>
      </c>
      <c r="AK67" s="15">
        <f>SUBTOTAL(109,ProjAbate[FY55/56])</f>
        <v>0</v>
      </c>
      <c r="AL67" s="15">
        <f>SUBTOTAL(109,ProjAbate[FY56/57])</f>
        <v>0</v>
      </c>
      <c r="AM67" s="15">
        <f>SUBTOTAL(109,ProjAbate[FY57/58])</f>
        <v>0</v>
      </c>
      <c r="AN67" s="15">
        <f>SUBTOTAL(109,ProjAbate[FY58/59])</f>
        <v>0</v>
      </c>
      <c r="AO67" s="15">
        <f>SUBTOTAL(109,ProjAbate[FY59/60])</f>
        <v>0</v>
      </c>
      <c r="AP67" s="15">
        <f>SUBTOTAL(109,ProjAbate[FY60/61])</f>
        <v>0</v>
      </c>
      <c r="AQ67" s="15">
        <f>SUBTOTAL(109,ProjAbate[FY61/62])</f>
        <v>0</v>
      </c>
      <c r="AR67" s="15">
        <f>SUBTOTAL(109,ProjAbate[FY62/63])</f>
        <v>0</v>
      </c>
      <c r="AS67" s="15">
        <f>SUBTOTAL(109,ProjAbate[FY63/64])</f>
        <v>0</v>
      </c>
      <c r="AT67" s="15">
        <f>SUBTOTAL(109,ProjAbate[FY64/65])</f>
        <v>0</v>
      </c>
      <c r="AU67" s="15">
        <f>SUBTOTAL(109,ProjAbate[FY65/66])</f>
        <v>0</v>
      </c>
      <c r="AV67" s="15">
        <f>SUBTOTAL(109,ProjAbate[FY66/67])</f>
        <v>0</v>
      </c>
      <c r="AW67" s="15">
        <f>SUBTOTAL(109,ProjAbate[FY67/68])</f>
        <v>0</v>
      </c>
      <c r="AX67" s="15">
        <f>SUBTOTAL(109,ProjAbate[FY68/69])</f>
        <v>0</v>
      </c>
      <c r="AY67" s="15">
        <f>SUBTOTAL(109,ProjAbate[FY69/70])</f>
        <v>0</v>
      </c>
      <c r="AZ67" s="15">
        <f>SUBTOTAL(109,ProjAbate[FY70/71])</f>
        <v>0</v>
      </c>
      <c r="BA67" s="15">
        <f>SUBTOTAL(109,ProjAbate[FY71/72])</f>
        <v>0</v>
      </c>
      <c r="BB67" s="15">
        <f>SUBTOTAL(109,ProjAbate[FY72/73])</f>
        <v>0</v>
      </c>
      <c r="BC67" s="15">
        <f>SUBTOTAL(109,ProjAbate[FY73/74])</f>
        <v>0</v>
      </c>
      <c r="BD67" s="15">
        <f>SUBTOTAL(109,ProjAbate[FY74/75])</f>
        <v>0</v>
      </c>
      <c r="BE67" s="15">
        <f>SUBTOTAL(109,ProjAbate[FY75/76])</f>
        <v>0</v>
      </c>
      <c r="BF67" s="15">
        <f>SUBTOTAL(109,ProjAbate[FY76/77])</f>
        <v>0</v>
      </c>
      <c r="BG67" s="15">
        <f>SUBTOTAL(109,ProjAbate[FY77/78])</f>
        <v>0</v>
      </c>
      <c r="BH67" s="15">
        <f>SUBTOTAL(109,ProjAbate[FY78/79])</f>
        <v>0</v>
      </c>
      <c r="BI67" s="15">
        <f>SUBTOTAL(109,ProjAbate[FY79/80])</f>
        <v>0</v>
      </c>
    </row>
    <row r="68" spans="2:61" x14ac:dyDescent="0.3">
      <c r="D68" s="4"/>
      <c r="E68" s="4"/>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row>
    <row r="69" spans="2:61" x14ac:dyDescent="0.3">
      <c r="D69" s="4"/>
      <c r="E69" s="4"/>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row>
    <row r="70" spans="2:61" ht="15.6" x14ac:dyDescent="0.3">
      <c r="B70" s="1" t="s">
        <v>152</v>
      </c>
    </row>
    <row r="71" spans="2:61" x14ac:dyDescent="0.3">
      <c r="B71" s="4" t="s">
        <v>46</v>
      </c>
      <c r="C71" s="4" t="s">
        <v>48</v>
      </c>
      <c r="D71" s="43" t="s">
        <v>153</v>
      </c>
      <c r="E71" s="44" t="s">
        <v>154</v>
      </c>
    </row>
    <row r="72" spans="2:61" x14ac:dyDescent="0.3">
      <c r="B72" s="2" t="s">
        <v>50</v>
      </c>
      <c r="C72" s="4" t="s">
        <v>52</v>
      </c>
      <c r="D72" s="45" t="s">
        <v>155</v>
      </c>
      <c r="E72" s="4" t="str">
        <f>IFERROR($E$10,"No data")</f>
        <v>FY26/27</v>
      </c>
    </row>
    <row r="73" spans="2:61" x14ac:dyDescent="0.3">
      <c r="B73" s="2" t="s">
        <v>156</v>
      </c>
      <c r="C73" s="4" t="s">
        <v>56</v>
      </c>
      <c r="D73" s="45" t="s">
        <v>155</v>
      </c>
      <c r="E73" s="37">
        <f>IFERROR($E$11,"No data")</f>
        <v>10</v>
      </c>
      <c r="G73" s="15"/>
    </row>
    <row r="74" spans="2:61" ht="15.6" x14ac:dyDescent="0.3">
      <c r="B74" s="2" t="s">
        <v>157</v>
      </c>
      <c r="C74" s="4" t="s">
        <v>133</v>
      </c>
      <c r="D74" s="37">
        <f>SUM($F$51:$K$51)</f>
        <v>0</v>
      </c>
      <c r="E74" s="37">
        <f>SUM($F$57:$K$57)</f>
        <v>0</v>
      </c>
      <c r="F74" s="3" t="s">
        <v>158</v>
      </c>
    </row>
    <row r="75" spans="2:61" ht="15.6" x14ac:dyDescent="0.3">
      <c r="B75" s="2" t="s">
        <v>159</v>
      </c>
      <c r="C75" s="4" t="s">
        <v>133</v>
      </c>
      <c r="D75" s="37">
        <f>SUM($F$52:$K$52)</f>
        <v>0</v>
      </c>
      <c r="E75" s="37">
        <f>SUM($F$58:$K$58)</f>
        <v>0</v>
      </c>
      <c r="F75" s="3" t="s">
        <v>158</v>
      </c>
    </row>
    <row r="76" spans="2:61" ht="15.6" x14ac:dyDescent="0.3">
      <c r="B76" s="2" t="s">
        <v>160</v>
      </c>
      <c r="C76" s="4" t="s">
        <v>133</v>
      </c>
      <c r="D76" s="37">
        <f ca="1">IFERROR(SUM(OFFSET($F$51,0,RIGHT($E$10,2)-25,1,$E$11)),"No data")</f>
        <v>0</v>
      </c>
      <c r="E76" s="37">
        <f ca="1">IFERROR(SUM(OFFSET($F$57,0,RIGHT($E$10,2)-25,1,$E$11)),"No data")</f>
        <v>0</v>
      </c>
      <c r="F76" s="3" t="s">
        <v>161</v>
      </c>
    </row>
    <row r="77" spans="2:61" ht="15.6" x14ac:dyDescent="0.3">
      <c r="B77" s="2" t="s">
        <v>162</v>
      </c>
      <c r="C77" s="4" t="s">
        <v>133</v>
      </c>
      <c r="D77" s="37">
        <f ca="1">IFERROR(SUM(OFFSET($F$52,0,RIGHT($E$10,2)-25,1,$E$11)),"No data")</f>
        <v>0</v>
      </c>
      <c r="E77" s="37">
        <f ca="1">IFERROR(SUM(OFFSET($F$58,0,RIGHT($E$10,2)-25,1,$E$11)),"No data")</f>
        <v>0</v>
      </c>
      <c r="F77" s="3" t="s">
        <v>161</v>
      </c>
    </row>
    <row r="78" spans="2:61" ht="15.6" x14ac:dyDescent="0.3">
      <c r="B78" s="2" t="s">
        <v>163</v>
      </c>
      <c r="C78" s="4" t="s">
        <v>133</v>
      </c>
      <c r="D78" s="45" t="s">
        <v>155</v>
      </c>
      <c r="E78" s="37">
        <f ca="1">IFERROR($D$76+$D$77-$E$76-$E$77,"No data")</f>
        <v>0</v>
      </c>
      <c r="F78" s="3" t="s">
        <v>161</v>
      </c>
    </row>
  </sheetData>
  <sheetProtection algorithmName="SHA-512" hashValue="faaapuk2HbG/6PKZ5eBqWfHEilpq81VomGmNuduDO/NnjNgN2p1lkHPfxV4RQhAApmSVkZ5/Fomx4J9H7N6CBQ==" saltValue="CrG1nJ+RjMZT8yW571oH6A==" spinCount="100000" sheet="1" selectLockedCells="1"/>
  <phoneticPr fontId="5" type="noConversion"/>
  <dataValidations count="4">
    <dataValidation type="list" allowBlank="1" showInputMessage="1" showErrorMessage="1" sqref="E16:E20 E24:E28 E30:E31" xr:uid="{81D00650-A65E-4127-8FEA-2FA7A89D1BB8}">
      <formula1>"Stationary, Transport, Other"</formula1>
    </dataValidation>
    <dataValidation type="list" allowBlank="1" showInputMessage="1" showErrorMessage="1" sqref="E11" xr:uid="{713108BC-27A0-4E0C-9A33-32437478136D}">
      <formula1>"1,2,3,4,5,6,7,8,9,10,11,12,13,14,15,16,17,18,19,20,21,22,23,24,25,26,27,28,29,30,31,32,33,34,35,36,37,38,39,40,41,42,43,44,45,46,47,48,49,50,51,52,53,54,55,56"</formula1>
    </dataValidation>
    <dataValidation type="custom" allowBlank="1" showInputMessage="1" showErrorMessage="1" errorTitle="Invalid Input" error="Please enter a number." sqref="F41:BI44 F16:BI21 F24:BI28 F34:BI38" xr:uid="{F5C12C4B-2E8A-4F85-AD47-F847DD42F8F4}">
      <formula1>ISNUMBER(F16)</formula1>
    </dataValidation>
    <dataValidation type="list" allowBlank="1" showInputMessage="1" showErrorMessage="1" sqref="E10" xr:uid="{FF8C2F37-D1CA-452B-BE56-FDA27F326769}">
      <formula1>"FY25/26,FY26/27,FY27/28,FY28/29,FY29/30"</formula1>
    </dataValidation>
  </dataValidations>
  <hyperlinks>
    <hyperlink ref="B48" location="Parameters!B12:AE12" display="Emissions intensity of the grid to calculate scope 2 emissions." xr:uid="{5A6D3DC7-8052-4268-988B-997E8507DE05}"/>
    <hyperlink ref="B47" location="Parameters!B17:G28" display="Emissions intensity factors to calculate scope 1 emissions." xr:uid="{10735520-5A4E-4ED0-B1B7-DA50221B141D}"/>
  </hyperlinks>
  <pageMargins left="0.7" right="0.7" top="0.75" bottom="0.75" header="0.3" footer="0.3"/>
  <pageSetup paperSize="9" orientation="portrait" r:id="rId1"/>
  <ignoredErrors>
    <ignoredError sqref="E16:E20 E24:E28" listDataValidation="1"/>
    <ignoredError sqref="F66 AZ65:BI65" calculatedColumn="1"/>
  </ignoredErrors>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3D011-4FDD-48A9-9B77-0E165196F5A9}">
  <sheetPr>
    <tabColor rgb="FFFAFAC0"/>
  </sheetPr>
  <dimension ref="B2:BH63"/>
  <sheetViews>
    <sheetView showGridLines="0" zoomScaleNormal="100" workbookViewId="0">
      <selection activeCell="C15" sqref="C15"/>
    </sheetView>
  </sheetViews>
  <sheetFormatPr defaultColWidth="8.88671875" defaultRowHeight="14.4" x14ac:dyDescent="0.3"/>
  <cols>
    <col min="1" max="1" width="2.6640625" style="2" customWidth="1"/>
    <col min="2" max="2" width="65.6640625" style="2" customWidth="1"/>
    <col min="3" max="3" width="62.6640625" style="2" customWidth="1"/>
    <col min="4" max="4" width="10" style="2" bestFit="1" customWidth="1"/>
    <col min="5" max="60" width="12.6640625" style="2" customWidth="1"/>
    <col min="61" max="16384" width="8.88671875" style="2"/>
  </cols>
  <sheetData>
    <row r="2" spans="2:60" x14ac:dyDescent="0.3">
      <c r="B2" s="20" t="s">
        <v>40</v>
      </c>
      <c r="C2" s="60" t="str">
        <f>Emissions!$C$2</f>
        <v>&lt;enter facility name&gt;</v>
      </c>
    </row>
    <row r="4" spans="2:60" ht="15.6" x14ac:dyDescent="0.3">
      <c r="B4" s="1" t="s">
        <v>42</v>
      </c>
    </row>
    <row r="5" spans="2:60" x14ac:dyDescent="0.3">
      <c r="B5" s="3" t="s">
        <v>164</v>
      </c>
    </row>
    <row r="6" spans="2:60" x14ac:dyDescent="0.3">
      <c r="B6" s="3" t="s">
        <v>165</v>
      </c>
    </row>
    <row r="7" spans="2:60" x14ac:dyDescent="0.3">
      <c r="B7" s="3" t="s">
        <v>166</v>
      </c>
    </row>
    <row r="8" spans="2:60" x14ac:dyDescent="0.3">
      <c r="B8" s="24" t="s">
        <v>43</v>
      </c>
    </row>
    <row r="9" spans="2:60" x14ac:dyDescent="0.3">
      <c r="B9" s="24" t="s">
        <v>44</v>
      </c>
    </row>
    <row r="11" spans="2:60" ht="15.6" x14ac:dyDescent="0.3">
      <c r="B11" s="1" t="s">
        <v>167</v>
      </c>
    </row>
    <row r="12" spans="2:60" x14ac:dyDescent="0.3">
      <c r="B12" s="3" t="s">
        <v>168</v>
      </c>
    </row>
    <row r="13" spans="2:60" x14ac:dyDescent="0.3">
      <c r="B13" s="3" t="s">
        <v>169</v>
      </c>
    </row>
    <row r="14" spans="2:60" x14ac:dyDescent="0.3">
      <c r="B14" s="4" t="s">
        <v>46</v>
      </c>
      <c r="C14" s="4" t="s">
        <v>47</v>
      </c>
      <c r="D14" s="4" t="s">
        <v>130</v>
      </c>
      <c r="E14" s="4" t="s">
        <v>59</v>
      </c>
      <c r="F14" s="4" t="s">
        <v>60</v>
      </c>
      <c r="G14" s="4" t="s">
        <v>53</v>
      </c>
      <c r="H14" s="4" t="s">
        <v>61</v>
      </c>
      <c r="I14" s="4" t="s">
        <v>62</v>
      </c>
      <c r="J14" s="4" t="s">
        <v>63</v>
      </c>
      <c r="K14" s="4" t="s">
        <v>64</v>
      </c>
      <c r="L14" s="4" t="s">
        <v>65</v>
      </c>
      <c r="M14" s="4" t="s">
        <v>66</v>
      </c>
      <c r="N14" s="4" t="s">
        <v>67</v>
      </c>
      <c r="O14" s="4" t="s">
        <v>68</v>
      </c>
      <c r="P14" s="4" t="s">
        <v>69</v>
      </c>
      <c r="Q14" s="4" t="s">
        <v>70</v>
      </c>
      <c r="R14" s="4" t="s">
        <v>71</v>
      </c>
      <c r="S14" s="4" t="s">
        <v>72</v>
      </c>
      <c r="T14" s="4" t="s">
        <v>73</v>
      </c>
      <c r="U14" s="4" t="s">
        <v>74</v>
      </c>
      <c r="V14" s="4" t="s">
        <v>75</v>
      </c>
      <c r="W14" s="4" t="s">
        <v>76</v>
      </c>
      <c r="X14" s="4" t="s">
        <v>77</v>
      </c>
      <c r="Y14" s="4" t="s">
        <v>78</v>
      </c>
      <c r="Z14" s="4" t="s">
        <v>79</v>
      </c>
      <c r="AA14" s="4" t="s">
        <v>80</v>
      </c>
      <c r="AB14" s="4" t="s">
        <v>81</v>
      </c>
      <c r="AC14" s="4" t="s">
        <v>82</v>
      </c>
      <c r="AD14" s="4" t="s">
        <v>83</v>
      </c>
      <c r="AE14" s="4" t="s">
        <v>84</v>
      </c>
      <c r="AF14" s="4" t="s">
        <v>85</v>
      </c>
      <c r="AG14" s="4" t="s">
        <v>86</v>
      </c>
      <c r="AH14" s="4" t="s">
        <v>87</v>
      </c>
      <c r="AI14" s="4" t="s">
        <v>88</v>
      </c>
      <c r="AJ14" s="4" t="s">
        <v>89</v>
      </c>
      <c r="AK14" s="4" t="s">
        <v>90</v>
      </c>
      <c r="AL14" s="4" t="s">
        <v>91</v>
      </c>
      <c r="AM14" s="4" t="s">
        <v>92</v>
      </c>
      <c r="AN14" s="4" t="s">
        <v>93</v>
      </c>
      <c r="AO14" s="4" t="s">
        <v>94</v>
      </c>
      <c r="AP14" s="4" t="s">
        <v>95</v>
      </c>
      <c r="AQ14" s="4" t="s">
        <v>96</v>
      </c>
      <c r="AR14" s="4" t="s">
        <v>97</v>
      </c>
      <c r="AS14" s="4" t="s">
        <v>98</v>
      </c>
      <c r="AT14" s="4" t="s">
        <v>99</v>
      </c>
      <c r="AU14" s="4" t="s">
        <v>100</v>
      </c>
      <c r="AV14" s="4" t="s">
        <v>101</v>
      </c>
      <c r="AW14" s="4" t="s">
        <v>102</v>
      </c>
      <c r="AX14" s="4" t="s">
        <v>103</v>
      </c>
      <c r="AY14" s="4" t="s">
        <v>104</v>
      </c>
      <c r="AZ14" s="4" t="s">
        <v>105</v>
      </c>
      <c r="BA14" s="4" t="s">
        <v>106</v>
      </c>
      <c r="BB14" s="4" t="s">
        <v>107</v>
      </c>
      <c r="BC14" s="4" t="s">
        <v>108</v>
      </c>
      <c r="BD14" s="4" t="s">
        <v>109</v>
      </c>
      <c r="BE14" s="4" t="s">
        <v>110</v>
      </c>
      <c r="BF14" s="4" t="s">
        <v>111</v>
      </c>
      <c r="BG14" s="4" t="s">
        <v>112</v>
      </c>
      <c r="BH14" s="4" t="s">
        <v>113</v>
      </c>
    </row>
    <row r="15" spans="2:60" x14ac:dyDescent="0.3">
      <c r="B15" s="2" t="s">
        <v>170</v>
      </c>
      <c r="C15" s="64" t="s">
        <v>171</v>
      </c>
      <c r="D15" s="4" t="s">
        <v>172</v>
      </c>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row>
    <row r="16" spans="2:60" x14ac:dyDescent="0.3">
      <c r="B16" s="2" t="s">
        <v>173</v>
      </c>
      <c r="C16" s="64" t="s">
        <v>174</v>
      </c>
      <c r="D16" s="4" t="s">
        <v>172</v>
      </c>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row>
    <row r="17" spans="2:60" x14ac:dyDescent="0.3">
      <c r="B17" s="2" t="s">
        <v>175</v>
      </c>
      <c r="C17" s="64" t="s">
        <v>176</v>
      </c>
      <c r="D17" s="4" t="s">
        <v>172</v>
      </c>
      <c r="E17" s="67"/>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row>
    <row r="18" spans="2:60" s="3" customFormat="1" x14ac:dyDescent="0.3">
      <c r="B18" s="3" t="s">
        <v>177</v>
      </c>
      <c r="C18" s="70" t="s">
        <v>178</v>
      </c>
      <c r="D18" s="46" t="s">
        <v>172</v>
      </c>
      <c r="E18" s="71"/>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row>
    <row r="19" spans="2:60" s="3" customFormat="1" x14ac:dyDescent="0.3">
      <c r="B19" s="3" t="s">
        <v>179</v>
      </c>
      <c r="C19" s="70" t="s">
        <v>180</v>
      </c>
      <c r="D19" s="46" t="s">
        <v>172</v>
      </c>
      <c r="E19" s="71"/>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row>
    <row r="20" spans="2:60" x14ac:dyDescent="0.3">
      <c r="B20" s="2" t="s">
        <v>181</v>
      </c>
      <c r="C20" s="64" t="s">
        <v>182</v>
      </c>
      <c r="D20" s="4" t="s">
        <v>172</v>
      </c>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row>
    <row r="21" spans="2:60" s="3" customFormat="1" x14ac:dyDescent="0.3">
      <c r="B21" s="3" t="s">
        <v>183</v>
      </c>
      <c r="D21" s="46" t="s">
        <v>172</v>
      </c>
      <c r="E21" s="48">
        <f>E17+E18+E19+E20-E15-E16</f>
        <v>0</v>
      </c>
      <c r="F21" s="48">
        <f t="shared" ref="F21:BH21" si="0">F17+F18+F19+F20-F15-F16</f>
        <v>0</v>
      </c>
      <c r="G21" s="48">
        <f t="shared" si="0"/>
        <v>0</v>
      </c>
      <c r="H21" s="48">
        <f t="shared" si="0"/>
        <v>0</v>
      </c>
      <c r="I21" s="48">
        <f t="shared" si="0"/>
        <v>0</v>
      </c>
      <c r="J21" s="48">
        <f t="shared" si="0"/>
        <v>0</v>
      </c>
      <c r="K21" s="48">
        <f t="shared" si="0"/>
        <v>0</v>
      </c>
      <c r="L21" s="48">
        <f t="shared" si="0"/>
        <v>0</v>
      </c>
      <c r="M21" s="48">
        <f t="shared" si="0"/>
        <v>0</v>
      </c>
      <c r="N21" s="48">
        <f t="shared" si="0"/>
        <v>0</v>
      </c>
      <c r="O21" s="48">
        <f t="shared" si="0"/>
        <v>0</v>
      </c>
      <c r="P21" s="48">
        <f t="shared" si="0"/>
        <v>0</v>
      </c>
      <c r="Q21" s="48">
        <f t="shared" si="0"/>
        <v>0</v>
      </c>
      <c r="R21" s="48">
        <f t="shared" si="0"/>
        <v>0</v>
      </c>
      <c r="S21" s="48">
        <f t="shared" si="0"/>
        <v>0</v>
      </c>
      <c r="T21" s="48">
        <f t="shared" si="0"/>
        <v>0</v>
      </c>
      <c r="U21" s="48">
        <f t="shared" si="0"/>
        <v>0</v>
      </c>
      <c r="V21" s="48">
        <f t="shared" si="0"/>
        <v>0</v>
      </c>
      <c r="W21" s="48">
        <f t="shared" si="0"/>
        <v>0</v>
      </c>
      <c r="X21" s="48">
        <f t="shared" si="0"/>
        <v>0</v>
      </c>
      <c r="Y21" s="48">
        <f t="shared" si="0"/>
        <v>0</v>
      </c>
      <c r="Z21" s="48">
        <f t="shared" si="0"/>
        <v>0</v>
      </c>
      <c r="AA21" s="48">
        <f t="shared" si="0"/>
        <v>0</v>
      </c>
      <c r="AB21" s="48">
        <f t="shared" si="0"/>
        <v>0</v>
      </c>
      <c r="AC21" s="48">
        <f t="shared" si="0"/>
        <v>0</v>
      </c>
      <c r="AD21" s="48">
        <f t="shared" si="0"/>
        <v>0</v>
      </c>
      <c r="AE21" s="48">
        <f t="shared" si="0"/>
        <v>0</v>
      </c>
      <c r="AF21" s="48">
        <f t="shared" si="0"/>
        <v>0</v>
      </c>
      <c r="AG21" s="48">
        <f t="shared" si="0"/>
        <v>0</v>
      </c>
      <c r="AH21" s="48">
        <f t="shared" si="0"/>
        <v>0</v>
      </c>
      <c r="AI21" s="48">
        <f t="shared" si="0"/>
        <v>0</v>
      </c>
      <c r="AJ21" s="48">
        <f t="shared" si="0"/>
        <v>0</v>
      </c>
      <c r="AK21" s="48">
        <f t="shared" si="0"/>
        <v>0</v>
      </c>
      <c r="AL21" s="48">
        <f t="shared" si="0"/>
        <v>0</v>
      </c>
      <c r="AM21" s="48">
        <f t="shared" si="0"/>
        <v>0</v>
      </c>
      <c r="AN21" s="48">
        <f t="shared" si="0"/>
        <v>0</v>
      </c>
      <c r="AO21" s="48">
        <f t="shared" si="0"/>
        <v>0</v>
      </c>
      <c r="AP21" s="48">
        <f t="shared" si="0"/>
        <v>0</v>
      </c>
      <c r="AQ21" s="48">
        <f t="shared" si="0"/>
        <v>0</v>
      </c>
      <c r="AR21" s="48">
        <f t="shared" si="0"/>
        <v>0</v>
      </c>
      <c r="AS21" s="48">
        <f t="shared" si="0"/>
        <v>0</v>
      </c>
      <c r="AT21" s="48">
        <f t="shared" si="0"/>
        <v>0</v>
      </c>
      <c r="AU21" s="48">
        <f t="shared" si="0"/>
        <v>0</v>
      </c>
      <c r="AV21" s="48">
        <f t="shared" si="0"/>
        <v>0</v>
      </c>
      <c r="AW21" s="48">
        <f t="shared" si="0"/>
        <v>0</v>
      </c>
      <c r="AX21" s="48">
        <f t="shared" si="0"/>
        <v>0</v>
      </c>
      <c r="AY21" s="48">
        <f t="shared" si="0"/>
        <v>0</v>
      </c>
      <c r="AZ21" s="48">
        <f t="shared" si="0"/>
        <v>0</v>
      </c>
      <c r="BA21" s="48">
        <f t="shared" si="0"/>
        <v>0</v>
      </c>
      <c r="BB21" s="48">
        <f t="shared" si="0"/>
        <v>0</v>
      </c>
      <c r="BC21" s="48">
        <f t="shared" si="0"/>
        <v>0</v>
      </c>
      <c r="BD21" s="48">
        <f t="shared" si="0"/>
        <v>0</v>
      </c>
      <c r="BE21" s="48">
        <f t="shared" si="0"/>
        <v>0</v>
      </c>
      <c r="BF21" s="48">
        <f t="shared" si="0"/>
        <v>0</v>
      </c>
      <c r="BG21" s="48">
        <f t="shared" si="0"/>
        <v>0</v>
      </c>
      <c r="BH21" s="48">
        <f t="shared" si="0"/>
        <v>0</v>
      </c>
    </row>
    <row r="24" spans="2:60" ht="15.6" x14ac:dyDescent="0.3">
      <c r="B24" s="1" t="s">
        <v>184</v>
      </c>
    </row>
    <row r="25" spans="2:60" x14ac:dyDescent="0.3">
      <c r="B25" s="3" t="s">
        <v>185</v>
      </c>
    </row>
    <row r="26" spans="2:60" x14ac:dyDescent="0.3">
      <c r="B26" s="4" t="s">
        <v>46</v>
      </c>
      <c r="C26" s="4" t="s">
        <v>47</v>
      </c>
      <c r="D26" s="4" t="s">
        <v>130</v>
      </c>
      <c r="E26" s="4" t="s">
        <v>59</v>
      </c>
      <c r="F26" s="4" t="s">
        <v>60</v>
      </c>
      <c r="G26" s="4" t="s">
        <v>53</v>
      </c>
      <c r="H26" s="4" t="s">
        <v>61</v>
      </c>
      <c r="I26" s="4" t="s">
        <v>62</v>
      </c>
      <c r="J26" s="4" t="s">
        <v>63</v>
      </c>
      <c r="K26" s="4" t="s">
        <v>64</v>
      </c>
      <c r="L26" s="4" t="s">
        <v>65</v>
      </c>
      <c r="M26" s="4" t="s">
        <v>66</v>
      </c>
      <c r="N26" s="4" t="s">
        <v>67</v>
      </c>
      <c r="O26" s="4" t="s">
        <v>68</v>
      </c>
      <c r="P26" s="4" t="s">
        <v>69</v>
      </c>
      <c r="Q26" s="4" t="s">
        <v>70</v>
      </c>
      <c r="R26" s="4" t="s">
        <v>71</v>
      </c>
      <c r="S26" s="4" t="s">
        <v>72</v>
      </c>
      <c r="T26" s="4" t="s">
        <v>73</v>
      </c>
      <c r="U26" s="4" t="s">
        <v>74</v>
      </c>
      <c r="V26" s="4" t="s">
        <v>75</v>
      </c>
      <c r="W26" s="4" t="s">
        <v>76</v>
      </c>
      <c r="X26" s="4" t="s">
        <v>77</v>
      </c>
      <c r="Y26" s="4" t="s">
        <v>78</v>
      </c>
      <c r="Z26" s="4" t="s">
        <v>79</v>
      </c>
      <c r="AA26" s="4" t="s">
        <v>80</v>
      </c>
      <c r="AB26" s="4" t="s">
        <v>81</v>
      </c>
      <c r="AC26" s="4" t="s">
        <v>82</v>
      </c>
      <c r="AD26" s="4" t="s">
        <v>83</v>
      </c>
      <c r="AE26" s="4" t="s">
        <v>84</v>
      </c>
      <c r="AF26" s="4" t="s">
        <v>85</v>
      </c>
      <c r="AG26" s="4" t="s">
        <v>86</v>
      </c>
      <c r="AH26" s="4" t="s">
        <v>87</v>
      </c>
      <c r="AI26" s="4" t="s">
        <v>88</v>
      </c>
      <c r="AJ26" s="4" t="s">
        <v>89</v>
      </c>
      <c r="AK26" s="4" t="s">
        <v>90</v>
      </c>
      <c r="AL26" s="4" t="s">
        <v>91</v>
      </c>
      <c r="AM26" s="4" t="s">
        <v>92</v>
      </c>
      <c r="AN26" s="4" t="s">
        <v>93</v>
      </c>
      <c r="AO26" s="4" t="s">
        <v>94</v>
      </c>
      <c r="AP26" s="4" t="s">
        <v>95</v>
      </c>
      <c r="AQ26" s="4" t="s">
        <v>96</v>
      </c>
      <c r="AR26" s="4" t="s">
        <v>97</v>
      </c>
      <c r="AS26" s="4" t="s">
        <v>98</v>
      </c>
      <c r="AT26" s="4" t="s">
        <v>99</v>
      </c>
      <c r="AU26" s="4" t="s">
        <v>100</v>
      </c>
      <c r="AV26" s="4" t="s">
        <v>101</v>
      </c>
      <c r="AW26" s="4" t="s">
        <v>102</v>
      </c>
      <c r="AX26" s="4" t="s">
        <v>103</v>
      </c>
      <c r="AY26" s="4" t="s">
        <v>104</v>
      </c>
      <c r="AZ26" s="4" t="s">
        <v>105</v>
      </c>
      <c r="BA26" s="4" t="s">
        <v>106</v>
      </c>
      <c r="BB26" s="4" t="s">
        <v>107</v>
      </c>
      <c r="BC26" s="4" t="s">
        <v>108</v>
      </c>
      <c r="BD26" s="4" t="s">
        <v>109</v>
      </c>
      <c r="BE26" s="4" t="s">
        <v>110</v>
      </c>
      <c r="BF26" s="4" t="s">
        <v>111</v>
      </c>
      <c r="BG26" s="4" t="s">
        <v>112</v>
      </c>
      <c r="BH26" s="4" t="s">
        <v>113</v>
      </c>
    </row>
    <row r="27" spans="2:60" x14ac:dyDescent="0.3">
      <c r="B27" s="2" t="s">
        <v>186</v>
      </c>
      <c r="C27" s="64" t="s">
        <v>187</v>
      </c>
      <c r="D27" s="4" t="s">
        <v>172</v>
      </c>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row>
    <row r="28" spans="2:60" x14ac:dyDescent="0.3">
      <c r="B28" s="2" t="s">
        <v>188</v>
      </c>
      <c r="C28" s="64" t="s">
        <v>189</v>
      </c>
      <c r="D28" s="4" t="s">
        <v>172</v>
      </c>
      <c r="E28" s="15"/>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row>
    <row r="29" spans="2:60" x14ac:dyDescent="0.3">
      <c r="B29" s="2" t="s">
        <v>190</v>
      </c>
      <c r="D29" s="4" t="s">
        <v>172</v>
      </c>
      <c r="E29" s="15">
        <f>SUBTOTAL(109,ProjLEIP[FY24/25])</f>
        <v>0</v>
      </c>
      <c r="F29" s="15">
        <f>SUBTOTAL(109,ProjLEIP[FY25/26])</f>
        <v>0</v>
      </c>
      <c r="G29" s="15">
        <f>SUBTOTAL(109,ProjLEIP[FY26/27])</f>
        <v>0</v>
      </c>
      <c r="H29" s="15">
        <f>SUBTOTAL(109,ProjLEIP[FY27/28])</f>
        <v>0</v>
      </c>
      <c r="I29" s="15">
        <f>SUBTOTAL(109,ProjLEIP[FY28/29])</f>
        <v>0</v>
      </c>
      <c r="J29" s="15">
        <f>SUBTOTAL(109,ProjLEIP[FY29/30])</f>
        <v>0</v>
      </c>
      <c r="K29" s="15">
        <f>SUBTOTAL(109,ProjLEIP[FY30/31])</f>
        <v>0</v>
      </c>
      <c r="L29" s="15">
        <f>SUBTOTAL(109,ProjLEIP[FY31/32])</f>
        <v>0</v>
      </c>
      <c r="M29" s="15">
        <f>SUBTOTAL(109,ProjLEIP[FY32/33])</f>
        <v>0</v>
      </c>
      <c r="N29" s="15">
        <f>SUBTOTAL(109,ProjLEIP[FY33/34])</f>
        <v>0</v>
      </c>
      <c r="O29" s="15">
        <f>SUBTOTAL(109,ProjLEIP[FY34/35])</f>
        <v>0</v>
      </c>
      <c r="P29" s="15">
        <f>SUBTOTAL(109,ProjLEIP[FY35/36])</f>
        <v>0</v>
      </c>
      <c r="Q29" s="15">
        <f>SUBTOTAL(109,ProjLEIP[FY36/37])</f>
        <v>0</v>
      </c>
      <c r="R29" s="15">
        <f>SUBTOTAL(109,ProjLEIP[FY37/38])</f>
        <v>0</v>
      </c>
      <c r="S29" s="15">
        <f>SUBTOTAL(109,ProjLEIP[FY38/39])</f>
        <v>0</v>
      </c>
      <c r="T29" s="15">
        <f>SUBTOTAL(109,ProjLEIP[FY39/40])</f>
        <v>0</v>
      </c>
      <c r="U29" s="15">
        <f>SUBTOTAL(109,ProjLEIP[FY40/41])</f>
        <v>0</v>
      </c>
      <c r="V29" s="15">
        <f>SUBTOTAL(109,ProjLEIP[FY41/42])</f>
        <v>0</v>
      </c>
      <c r="W29" s="15">
        <f>SUBTOTAL(109,ProjLEIP[FY42/43])</f>
        <v>0</v>
      </c>
      <c r="X29" s="15">
        <f>SUBTOTAL(109,ProjLEIP[FY43/44])</f>
        <v>0</v>
      </c>
      <c r="Y29" s="15">
        <f>SUBTOTAL(109,ProjLEIP[FY44/45])</f>
        <v>0</v>
      </c>
      <c r="Z29" s="15">
        <f>SUBTOTAL(109,ProjLEIP[FY45/46])</f>
        <v>0</v>
      </c>
      <c r="AA29" s="15">
        <f>SUBTOTAL(109,ProjLEIP[FY46/47])</f>
        <v>0</v>
      </c>
      <c r="AB29" s="15">
        <f>SUBTOTAL(109,ProjLEIP[FY47/48])</f>
        <v>0</v>
      </c>
      <c r="AC29" s="15">
        <f>SUBTOTAL(109,ProjLEIP[FY48/49])</f>
        <v>0</v>
      </c>
      <c r="AD29" s="15">
        <f>SUBTOTAL(109,ProjLEIP[FY49/50])</f>
        <v>0</v>
      </c>
      <c r="AE29" s="15">
        <f>SUBTOTAL(109,ProjLEIP[FY50/51])</f>
        <v>0</v>
      </c>
      <c r="AF29" s="15">
        <f>SUBTOTAL(109,ProjLEIP[FY51/52])</f>
        <v>0</v>
      </c>
      <c r="AG29" s="15">
        <f>SUBTOTAL(109,ProjLEIP[FY52/53])</f>
        <v>0</v>
      </c>
      <c r="AH29" s="15">
        <f>SUBTOTAL(109,ProjLEIP[FY53/54])</f>
        <v>0</v>
      </c>
      <c r="AI29" s="15">
        <f>SUBTOTAL(109,ProjLEIP[FY54/55])</f>
        <v>0</v>
      </c>
      <c r="AJ29" s="15">
        <f>SUBTOTAL(109,ProjLEIP[FY55/56])</f>
        <v>0</v>
      </c>
      <c r="AK29" s="15">
        <f>SUBTOTAL(109,ProjLEIP[FY56/57])</f>
        <v>0</v>
      </c>
      <c r="AL29" s="15">
        <f>SUBTOTAL(109,ProjLEIP[FY57/58])</f>
        <v>0</v>
      </c>
      <c r="AM29" s="15">
        <f>SUBTOTAL(109,ProjLEIP[FY58/59])</f>
        <v>0</v>
      </c>
      <c r="AN29" s="15">
        <f>SUBTOTAL(109,ProjLEIP[FY59/60])</f>
        <v>0</v>
      </c>
      <c r="AO29" s="15">
        <f>SUBTOTAL(109,ProjLEIP[FY60/61])</f>
        <v>0</v>
      </c>
      <c r="AP29" s="15">
        <f>SUBTOTAL(109,ProjLEIP[FY61/62])</f>
        <v>0</v>
      </c>
      <c r="AQ29" s="15">
        <f>SUBTOTAL(109,ProjLEIP[FY62/63])</f>
        <v>0</v>
      </c>
      <c r="AR29" s="15">
        <f>SUBTOTAL(109,ProjLEIP[FY63/64])</f>
        <v>0</v>
      </c>
      <c r="AS29" s="15">
        <f>SUBTOTAL(109,ProjLEIP[FY64/65])</f>
        <v>0</v>
      </c>
      <c r="AT29" s="15">
        <f>SUBTOTAL(109,ProjLEIP[FY65/66])</f>
        <v>0</v>
      </c>
      <c r="AU29" s="15">
        <f>SUBTOTAL(109,ProjLEIP[FY66/67])</f>
        <v>0</v>
      </c>
      <c r="AV29" s="15">
        <f>SUBTOTAL(109,ProjLEIP[FY67/68])</f>
        <v>0</v>
      </c>
      <c r="AW29" s="15">
        <f>SUBTOTAL(109,ProjLEIP[FY68/69])</f>
        <v>0</v>
      </c>
      <c r="AX29" s="15">
        <f>SUBTOTAL(109,ProjLEIP[FY69/70])</f>
        <v>0</v>
      </c>
      <c r="AY29" s="15">
        <f>SUBTOTAL(109,ProjLEIP[FY70/71])</f>
        <v>0</v>
      </c>
      <c r="AZ29" s="15">
        <f>SUBTOTAL(109,ProjLEIP[FY71/72])</f>
        <v>0</v>
      </c>
      <c r="BA29" s="15">
        <f>SUBTOTAL(109,ProjLEIP[FY72/73])</f>
        <v>0</v>
      </c>
      <c r="BB29" s="15">
        <f>SUBTOTAL(109,ProjLEIP[FY73/74])</f>
        <v>0</v>
      </c>
      <c r="BC29" s="15">
        <f>SUBTOTAL(109,ProjLEIP[FY74/75])</f>
        <v>0</v>
      </c>
      <c r="BD29" s="15">
        <f>SUBTOTAL(109,ProjLEIP[FY75/76])</f>
        <v>0</v>
      </c>
      <c r="BE29" s="15">
        <f>SUBTOTAL(109,ProjLEIP[FY76/77])</f>
        <v>0</v>
      </c>
      <c r="BF29" s="15">
        <f>SUBTOTAL(109,ProjLEIP[FY77/78])</f>
        <v>0</v>
      </c>
      <c r="BG29" s="15">
        <f>SUBTOTAL(109,ProjLEIP[FY78/79])</f>
        <v>0</v>
      </c>
      <c r="BH29" s="15">
        <f>SUBTOTAL(109,ProjLEIP[FY79/80])</f>
        <v>0</v>
      </c>
    </row>
    <row r="32" spans="2:60" ht="15.6" x14ac:dyDescent="0.3">
      <c r="B32" s="1" t="s">
        <v>191</v>
      </c>
    </row>
    <row r="33" spans="2:60" x14ac:dyDescent="0.3">
      <c r="B33" s="3" t="s">
        <v>192</v>
      </c>
    </row>
    <row r="34" spans="2:60" x14ac:dyDescent="0.3">
      <c r="B34" s="3" t="s">
        <v>193</v>
      </c>
    </row>
    <row r="35" spans="2:60" x14ac:dyDescent="0.3">
      <c r="B35" s="3" t="s">
        <v>194</v>
      </c>
    </row>
    <row r="36" spans="2:60" x14ac:dyDescent="0.3">
      <c r="B36" s="4" t="s">
        <v>46</v>
      </c>
      <c r="C36" s="4" t="s">
        <v>47</v>
      </c>
      <c r="D36" s="4" t="s">
        <v>48</v>
      </c>
      <c r="E36" s="4" t="s">
        <v>59</v>
      </c>
      <c r="F36" s="4" t="s">
        <v>60</v>
      </c>
      <c r="G36" s="4" t="s">
        <v>53</v>
      </c>
      <c r="H36" s="4" t="s">
        <v>61</v>
      </c>
      <c r="I36" s="4" t="s">
        <v>62</v>
      </c>
      <c r="J36" s="4" t="s">
        <v>63</v>
      </c>
      <c r="K36" s="4" t="s">
        <v>64</v>
      </c>
      <c r="L36" s="4" t="s">
        <v>65</v>
      </c>
      <c r="M36" s="4" t="s">
        <v>66</v>
      </c>
      <c r="N36" s="4" t="s">
        <v>67</v>
      </c>
      <c r="O36" s="4" t="s">
        <v>68</v>
      </c>
      <c r="P36" s="4" t="s">
        <v>69</v>
      </c>
      <c r="Q36" s="4" t="s">
        <v>70</v>
      </c>
      <c r="R36" s="4" t="s">
        <v>71</v>
      </c>
      <c r="S36" s="4" t="s">
        <v>72</v>
      </c>
      <c r="T36" s="4" t="s">
        <v>73</v>
      </c>
      <c r="U36" s="4" t="s">
        <v>74</v>
      </c>
      <c r="V36" s="4" t="s">
        <v>75</v>
      </c>
      <c r="W36" s="4" t="s">
        <v>76</v>
      </c>
      <c r="X36" s="4" t="s">
        <v>77</v>
      </c>
      <c r="Y36" s="4" t="s">
        <v>78</v>
      </c>
      <c r="Z36" s="4" t="s">
        <v>79</v>
      </c>
      <c r="AA36" s="4" t="s">
        <v>80</v>
      </c>
      <c r="AB36" s="4" t="s">
        <v>81</v>
      </c>
      <c r="AC36" s="4" t="s">
        <v>82</v>
      </c>
      <c r="AD36" s="4" t="s">
        <v>83</v>
      </c>
      <c r="AE36" s="4" t="s">
        <v>84</v>
      </c>
      <c r="AF36" s="4" t="s">
        <v>85</v>
      </c>
      <c r="AG36" s="4" t="s">
        <v>86</v>
      </c>
      <c r="AH36" s="4" t="s">
        <v>87</v>
      </c>
      <c r="AI36" s="4" t="s">
        <v>88</v>
      </c>
      <c r="AJ36" s="4" t="s">
        <v>89</v>
      </c>
      <c r="AK36" s="4" t="s">
        <v>90</v>
      </c>
      <c r="AL36" s="4" t="s">
        <v>91</v>
      </c>
      <c r="AM36" s="4" t="s">
        <v>92</v>
      </c>
      <c r="AN36" s="4" t="s">
        <v>93</v>
      </c>
      <c r="AO36" s="4" t="s">
        <v>94</v>
      </c>
      <c r="AP36" s="4" t="s">
        <v>95</v>
      </c>
      <c r="AQ36" s="4" t="s">
        <v>96</v>
      </c>
      <c r="AR36" s="4" t="s">
        <v>97</v>
      </c>
      <c r="AS36" s="4" t="s">
        <v>98</v>
      </c>
      <c r="AT36" s="4" t="s">
        <v>99</v>
      </c>
      <c r="AU36" s="4" t="s">
        <v>100</v>
      </c>
      <c r="AV36" s="4" t="s">
        <v>101</v>
      </c>
      <c r="AW36" s="4" t="s">
        <v>102</v>
      </c>
      <c r="AX36" s="4" t="s">
        <v>103</v>
      </c>
      <c r="AY36" s="4" t="s">
        <v>104</v>
      </c>
      <c r="AZ36" s="4" t="s">
        <v>105</v>
      </c>
      <c r="BA36" s="4" t="s">
        <v>106</v>
      </c>
      <c r="BB36" s="4" t="s">
        <v>107</v>
      </c>
      <c r="BC36" s="4" t="s">
        <v>108</v>
      </c>
      <c r="BD36" s="4" t="s">
        <v>109</v>
      </c>
      <c r="BE36" s="4" t="s">
        <v>110</v>
      </c>
      <c r="BF36" s="4" t="s">
        <v>111</v>
      </c>
      <c r="BG36" s="4" t="s">
        <v>112</v>
      </c>
      <c r="BH36" s="4" t="s">
        <v>113</v>
      </c>
    </row>
    <row r="37" spans="2:60" x14ac:dyDescent="0.3">
      <c r="B37" s="2" t="s">
        <v>195</v>
      </c>
      <c r="C37" s="64" t="s">
        <v>196</v>
      </c>
      <c r="D37" s="4" t="s">
        <v>197</v>
      </c>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row>
    <row r="38" spans="2:60" x14ac:dyDescent="0.3">
      <c r="B38" s="2" t="s">
        <v>198</v>
      </c>
      <c r="C38" s="64" t="s">
        <v>199</v>
      </c>
      <c r="D38" s="4" t="s">
        <v>172</v>
      </c>
      <c r="E38" s="37" cm="1">
        <f t="array" ref="E38">E$37*ACCUPrice[2024]</f>
        <v>0</v>
      </c>
      <c r="F38" s="37" cm="1">
        <f t="array" ref="F38">F$37*ACCUPrice[2025]</f>
        <v>0</v>
      </c>
      <c r="G38" s="37" cm="1">
        <f t="array" ref="G38">G$37*ACCUPrice[2026]</f>
        <v>0</v>
      </c>
      <c r="H38" s="37" cm="1">
        <f t="array" ref="H38">H$37*ACCUPrice[2027]</f>
        <v>0</v>
      </c>
      <c r="I38" s="37" cm="1">
        <f t="array" ref="I38">I$37*ACCUPrice[2028]</f>
        <v>0</v>
      </c>
      <c r="J38" s="37" cm="1">
        <f t="array" ref="J38">J$37*ACCUPrice[2029]</f>
        <v>0</v>
      </c>
      <c r="K38" s="37" cm="1">
        <f t="array" ref="K38">K$37*ACCUPrice[2030]</f>
        <v>0</v>
      </c>
      <c r="L38" s="37" cm="1">
        <f t="array" ref="L38">L$37*ACCUPrice[2031]</f>
        <v>0</v>
      </c>
      <c r="M38" s="37" cm="1">
        <f t="array" ref="M38">M$37*ACCUPrice[2032]</f>
        <v>0</v>
      </c>
      <c r="N38" s="37" cm="1">
        <f t="array" ref="N38">N$37*ACCUPrice[2033]</f>
        <v>0</v>
      </c>
      <c r="O38" s="37" cm="1">
        <f t="array" ref="O38">O$37*ACCUPrice[2034]</f>
        <v>0</v>
      </c>
      <c r="P38" s="37" cm="1">
        <f t="array" ref="P38">P$37*ACCUPrice[2035]</f>
        <v>0</v>
      </c>
      <c r="Q38" s="37" cm="1">
        <f t="array" ref="Q38">Q$37*ACCUPrice[2036]</f>
        <v>0</v>
      </c>
      <c r="R38" s="37" cm="1">
        <f t="array" ref="R38">R$37*ACCUPrice[2037]</f>
        <v>0</v>
      </c>
      <c r="S38" s="37" cm="1">
        <f t="array" ref="S38">S$37*ACCUPrice[2025]</f>
        <v>0</v>
      </c>
      <c r="T38" s="37" cm="1">
        <f t="array" ref="T38">T$37*ACCUPrice[2026]</f>
        <v>0</v>
      </c>
      <c r="U38" s="37" cm="1">
        <f t="array" ref="U38">U$37*ACCUPrice[2027]</f>
        <v>0</v>
      </c>
      <c r="V38" s="37" cm="1">
        <f t="array" ref="V38">V$37*ACCUPrice[2028]</f>
        <v>0</v>
      </c>
      <c r="W38" s="37" cm="1">
        <f t="array" ref="W38">W$37*ACCUPrice[2029]</f>
        <v>0</v>
      </c>
      <c r="X38" s="37" cm="1">
        <f t="array" ref="X38">X$37*ACCUPrice[2030]</f>
        <v>0</v>
      </c>
      <c r="Y38" s="37" cm="1">
        <f t="array" ref="Y38">Y$37*ACCUPrice[2031]</f>
        <v>0</v>
      </c>
      <c r="Z38" s="37" cm="1">
        <f t="array" ref="Z38">Z$37*ACCUPrice[2032]</f>
        <v>0</v>
      </c>
      <c r="AA38" s="37" cm="1">
        <f t="array" ref="AA38">AA$37*ACCUPrice[2033]</f>
        <v>0</v>
      </c>
      <c r="AB38" s="37" cm="1">
        <f t="array" ref="AB38">AB$37*ACCUPrice[2034]</f>
        <v>0</v>
      </c>
      <c r="AC38" s="37" cm="1">
        <f t="array" ref="AC38">AC$37*ACCUPrice[2035]</f>
        <v>0</v>
      </c>
      <c r="AD38" s="37" cm="1">
        <f t="array" ref="AD38">AD$37*ACCUPrice[2036]</f>
        <v>0</v>
      </c>
      <c r="AE38" s="37" cm="1">
        <f t="array" ref="AE38">AE$37*ACCUPrice[2037]</f>
        <v>0</v>
      </c>
      <c r="AF38" s="37" cm="1">
        <f t="array" ref="AF38">AF$37*ACCUPrice[2038]</f>
        <v>0</v>
      </c>
      <c r="AG38" s="37" cm="1">
        <f t="array" ref="AG38">AG$37*ACCUPrice[2026]</f>
        <v>0</v>
      </c>
      <c r="AH38" s="37" cm="1">
        <f t="array" ref="AH38">AH$37*ACCUPrice[2027]</f>
        <v>0</v>
      </c>
      <c r="AI38" s="37" cm="1">
        <f t="array" ref="AI38">AI$37*ACCUPrice[2028]</f>
        <v>0</v>
      </c>
      <c r="AJ38" s="37" cm="1">
        <f t="array" ref="AJ38">AJ$37*ACCUPrice[2029]</f>
        <v>0</v>
      </c>
      <c r="AK38" s="37" cm="1">
        <f t="array" ref="AK38">AK$37*ACCUPrice[2030]</f>
        <v>0</v>
      </c>
      <c r="AL38" s="37" cm="1">
        <f t="array" ref="AL38">AL$37*ACCUPrice[2031]</f>
        <v>0</v>
      </c>
      <c r="AM38" s="37" cm="1">
        <f t="array" ref="AM38">AM$37*ACCUPrice[2032]</f>
        <v>0</v>
      </c>
      <c r="AN38" s="37" cm="1">
        <f t="array" ref="AN38">AN$37*ACCUPrice[2033]</f>
        <v>0</v>
      </c>
      <c r="AO38" s="37" cm="1">
        <f t="array" ref="AO38">AO$37*ACCUPrice[2034]</f>
        <v>0</v>
      </c>
      <c r="AP38" s="37" cm="1">
        <f t="array" ref="AP38">AP$37*ACCUPrice[2035]</f>
        <v>0</v>
      </c>
      <c r="AQ38" s="37" cm="1">
        <f t="array" ref="AQ38">AQ$37*ACCUPrice[2036]</f>
        <v>0</v>
      </c>
      <c r="AR38" s="37" cm="1">
        <f t="array" ref="AR38">AR$37*ACCUPrice[2037]</f>
        <v>0</v>
      </c>
      <c r="AS38" s="37" cm="1">
        <f t="array" ref="AS38">AS$37*ACCUPrice[2038]</f>
        <v>0</v>
      </c>
      <c r="AT38" s="37" cm="1">
        <f t="array" ref="AT38">AT$37*ACCUPrice[2039]</f>
        <v>0</v>
      </c>
      <c r="AU38" s="37" cm="1">
        <f t="array" ref="AU38">AU$37*ACCUPrice[2027]</f>
        <v>0</v>
      </c>
      <c r="AV38" s="37" cm="1">
        <f t="array" ref="AV38">AV$37*ACCUPrice[2028]</f>
        <v>0</v>
      </c>
      <c r="AW38" s="37" cm="1">
        <f t="array" ref="AW38">AW$37*ACCUPrice[2029]</f>
        <v>0</v>
      </c>
      <c r="AX38" s="37" cm="1">
        <f t="array" ref="AX38">AX$37*ACCUPrice[2030]</f>
        <v>0</v>
      </c>
      <c r="AY38" s="37" cm="1">
        <f t="array" ref="AY38">AY$37*ACCUPrice[2031]</f>
        <v>0</v>
      </c>
      <c r="AZ38" s="37" cm="1">
        <f t="array" ref="AZ38">AZ$37*ACCUPrice[2032]</f>
        <v>0</v>
      </c>
      <c r="BA38" s="37" cm="1">
        <f t="array" ref="BA38">BA$37*ACCUPrice[2033]</f>
        <v>0</v>
      </c>
      <c r="BB38" s="37" cm="1">
        <f t="array" ref="BB38">BB$37*ACCUPrice[2034]</f>
        <v>0</v>
      </c>
      <c r="BC38" s="37" cm="1">
        <f t="array" ref="BC38">BC$37*ACCUPrice[2035]</f>
        <v>0</v>
      </c>
      <c r="BD38" s="37" cm="1">
        <f t="array" ref="BD38">BD$37*ACCUPrice[2036]</f>
        <v>0</v>
      </c>
      <c r="BE38" s="37" cm="1">
        <f t="array" ref="BE38">BE$37*ACCUPrice[2037]</f>
        <v>0</v>
      </c>
      <c r="BF38" s="37" cm="1">
        <f t="array" ref="BF38">BF$37*ACCUPrice[2038]</f>
        <v>0</v>
      </c>
      <c r="BG38" s="37" cm="1">
        <f t="array" ref="BG38">BG$37*ACCUPrice[2039]</f>
        <v>0</v>
      </c>
      <c r="BH38" s="37" cm="1">
        <f t="array" ref="BH38">BH$37*ACCUPrice[2040]</f>
        <v>0</v>
      </c>
    </row>
    <row r="40" spans="2:60" ht="15.6" x14ac:dyDescent="0.3">
      <c r="B40" s="1" t="s">
        <v>200</v>
      </c>
    </row>
    <row r="41" spans="2:60" x14ac:dyDescent="0.3">
      <c r="B41" s="3" t="s">
        <v>201</v>
      </c>
    </row>
    <row r="42" spans="2:60" x14ac:dyDescent="0.3">
      <c r="B42" s="4" t="s">
        <v>46</v>
      </c>
      <c r="C42" s="4" t="s">
        <v>58</v>
      </c>
      <c r="D42" s="4" t="s">
        <v>130</v>
      </c>
      <c r="E42" s="4" t="s">
        <v>202</v>
      </c>
      <c r="F42" s="4" t="s">
        <v>203</v>
      </c>
      <c r="G42" s="4" t="s">
        <v>204</v>
      </c>
      <c r="H42" s="4" t="s">
        <v>205</v>
      </c>
      <c r="I42" s="4" t="s">
        <v>206</v>
      </c>
      <c r="J42" s="4" t="s">
        <v>207</v>
      </c>
      <c r="K42" s="4" t="s">
        <v>208</v>
      </c>
      <c r="L42" s="4" t="s">
        <v>209</v>
      </c>
      <c r="M42" s="4" t="s">
        <v>210</v>
      </c>
      <c r="N42" s="4" t="s">
        <v>211</v>
      </c>
      <c r="O42" s="4" t="s">
        <v>212</v>
      </c>
      <c r="P42" s="4" t="s">
        <v>213</v>
      </c>
      <c r="Q42" s="4" t="s">
        <v>214</v>
      </c>
      <c r="R42" s="4" t="s">
        <v>215</v>
      </c>
      <c r="S42" s="4" t="s">
        <v>216</v>
      </c>
      <c r="T42" s="4" t="s">
        <v>217</v>
      </c>
      <c r="U42" s="4" t="s">
        <v>218</v>
      </c>
      <c r="V42" s="4" t="s">
        <v>219</v>
      </c>
      <c r="W42" s="4" t="s">
        <v>220</v>
      </c>
      <c r="X42" s="4" t="s">
        <v>221</v>
      </c>
      <c r="Y42" s="4" t="s">
        <v>222</v>
      </c>
      <c r="Z42" s="4" t="s">
        <v>223</v>
      </c>
      <c r="AA42" s="4" t="s">
        <v>224</v>
      </c>
      <c r="AB42" s="4" t="s">
        <v>225</v>
      </c>
      <c r="AC42" s="4" t="s">
        <v>226</v>
      </c>
      <c r="AD42" s="4" t="s">
        <v>227</v>
      </c>
      <c r="AE42" s="4" t="s">
        <v>228</v>
      </c>
      <c r="AF42" s="4" t="s">
        <v>229</v>
      </c>
      <c r="AG42" s="4" t="s">
        <v>230</v>
      </c>
      <c r="AH42" s="4" t="s">
        <v>231</v>
      </c>
      <c r="AI42" s="4" t="s">
        <v>232</v>
      </c>
      <c r="AJ42" s="4" t="s">
        <v>233</v>
      </c>
      <c r="AK42" s="4" t="s">
        <v>234</v>
      </c>
      <c r="AL42" s="4" t="s">
        <v>235</v>
      </c>
      <c r="AM42" s="4" t="s">
        <v>236</v>
      </c>
      <c r="AN42" s="4" t="s">
        <v>237</v>
      </c>
      <c r="AO42" s="4" t="s">
        <v>238</v>
      </c>
      <c r="AP42" s="4" t="s">
        <v>239</v>
      </c>
      <c r="AQ42" s="4" t="s">
        <v>240</v>
      </c>
      <c r="AR42" s="4" t="s">
        <v>241</v>
      </c>
      <c r="AS42" s="4" t="s">
        <v>242</v>
      </c>
      <c r="AT42" s="4" t="s">
        <v>243</v>
      </c>
      <c r="AU42" s="4" t="s">
        <v>244</v>
      </c>
      <c r="AV42" s="4" t="s">
        <v>245</v>
      </c>
      <c r="AW42" s="4" t="s">
        <v>246</v>
      </c>
      <c r="AX42" s="4" t="s">
        <v>247</v>
      </c>
      <c r="AY42" s="4" t="s">
        <v>248</v>
      </c>
      <c r="AZ42" s="4" t="s">
        <v>249</v>
      </c>
      <c r="BA42" s="4" t="s">
        <v>250</v>
      </c>
      <c r="BB42" s="4" t="s">
        <v>251</v>
      </c>
      <c r="BC42" s="4" t="s">
        <v>252</v>
      </c>
      <c r="BD42" s="4" t="s">
        <v>253</v>
      </c>
      <c r="BE42" s="4" t="s">
        <v>254</v>
      </c>
      <c r="BF42" s="4" t="s">
        <v>255</v>
      </c>
      <c r="BG42" s="4" t="s">
        <v>256</v>
      </c>
      <c r="BH42" s="4" t="s">
        <v>257</v>
      </c>
    </row>
    <row r="43" spans="2:60" x14ac:dyDescent="0.3">
      <c r="B43" s="2" t="s">
        <v>258</v>
      </c>
      <c r="C43" s="68" t="s">
        <v>259</v>
      </c>
      <c r="D43" s="4" t="s">
        <v>172</v>
      </c>
      <c r="E43" s="64">
        <v>30</v>
      </c>
      <c r="F43" s="64">
        <v>30</v>
      </c>
      <c r="G43" s="64">
        <v>30.9</v>
      </c>
      <c r="H43" s="64">
        <v>35</v>
      </c>
      <c r="I43" s="64">
        <v>40.9</v>
      </c>
      <c r="J43" s="64">
        <v>50.3</v>
      </c>
      <c r="K43" s="64">
        <v>59</v>
      </c>
      <c r="L43" s="64">
        <v>62.6</v>
      </c>
      <c r="M43" s="64">
        <v>64</v>
      </c>
      <c r="N43" s="64">
        <v>71.099999999999994</v>
      </c>
      <c r="O43" s="64">
        <v>73.400000000000006</v>
      </c>
      <c r="P43" s="64">
        <v>62.4</v>
      </c>
      <c r="Q43" s="64">
        <v>59.2</v>
      </c>
      <c r="R43" s="64">
        <v>59</v>
      </c>
      <c r="S43" s="64">
        <v>58.7</v>
      </c>
      <c r="T43" s="64">
        <v>55.9</v>
      </c>
      <c r="U43" s="64">
        <v>56</v>
      </c>
      <c r="V43" s="64">
        <v>56.7</v>
      </c>
      <c r="W43" s="64">
        <v>55.9</v>
      </c>
      <c r="X43" s="64">
        <v>54.6</v>
      </c>
      <c r="Y43" s="64">
        <v>53.5</v>
      </c>
      <c r="Z43" s="64">
        <v>55.6</v>
      </c>
      <c r="AA43" s="64">
        <v>56.6</v>
      </c>
      <c r="AB43" s="64">
        <v>64.5</v>
      </c>
      <c r="AC43" s="64">
        <v>67.099999999999994</v>
      </c>
      <c r="AD43" s="64">
        <v>67.599999999999994</v>
      </c>
      <c r="AE43" s="64">
        <v>77.400000000000006</v>
      </c>
      <c r="AF43" s="69">
        <v>74.8472222222222</v>
      </c>
      <c r="AG43" s="69">
        <v>77.532222222222202</v>
      </c>
      <c r="AH43" s="69">
        <v>80.217222222222205</v>
      </c>
      <c r="AI43" s="69">
        <v>82.902222222222207</v>
      </c>
      <c r="AJ43" s="69">
        <v>85.587222222222195</v>
      </c>
      <c r="AK43" s="69">
        <v>88.272222222222197</v>
      </c>
      <c r="AL43" s="69">
        <v>90.9572222222222</v>
      </c>
      <c r="AM43" s="69">
        <v>93.642222222222202</v>
      </c>
      <c r="AN43" s="69">
        <v>96.327222222222204</v>
      </c>
      <c r="AO43" s="69">
        <v>99.012222222222206</v>
      </c>
      <c r="AP43" s="69">
        <v>101.697222222222</v>
      </c>
      <c r="AQ43" s="69">
        <v>104.382222222222</v>
      </c>
      <c r="AR43" s="69">
        <v>107.067222222222</v>
      </c>
      <c r="AS43" s="69">
        <v>109.752222222222</v>
      </c>
      <c r="AT43" s="69">
        <v>112.437222222222</v>
      </c>
      <c r="AU43" s="69">
        <v>115.12222222222201</v>
      </c>
      <c r="AV43" s="69">
        <v>117.80722222222199</v>
      </c>
      <c r="AW43" s="69">
        <v>120.492222222222</v>
      </c>
      <c r="AX43" s="69">
        <v>123.177222222222</v>
      </c>
      <c r="AY43" s="69">
        <v>125.862222222222</v>
      </c>
      <c r="AZ43" s="69">
        <v>128.54722222222199</v>
      </c>
      <c r="BA43" s="69">
        <v>131.23222222222199</v>
      </c>
      <c r="BB43" s="69">
        <v>133.91722222222199</v>
      </c>
      <c r="BC43" s="69">
        <v>136.602222222222</v>
      </c>
      <c r="BD43" s="69">
        <v>139.287222222222</v>
      </c>
      <c r="BE43" s="69">
        <v>141.972222222222</v>
      </c>
      <c r="BF43" s="69">
        <v>144.657222222222</v>
      </c>
      <c r="BG43" s="69">
        <v>147.34222222222201</v>
      </c>
      <c r="BH43" s="69">
        <v>150.02722222222201</v>
      </c>
    </row>
    <row r="45" spans="2:60" ht="15.6" x14ac:dyDescent="0.3">
      <c r="B45" s="1" t="s">
        <v>260</v>
      </c>
    </row>
    <row r="46" spans="2:60" x14ac:dyDescent="0.3">
      <c r="B46" s="3" t="s">
        <v>261</v>
      </c>
    </row>
    <row r="47" spans="2:60" x14ac:dyDescent="0.3">
      <c r="B47" s="4" t="s">
        <v>46</v>
      </c>
      <c r="C47" s="4" t="s">
        <v>47</v>
      </c>
      <c r="D47" s="4" t="s">
        <v>48</v>
      </c>
      <c r="E47" s="4" t="s">
        <v>59</v>
      </c>
      <c r="F47" s="4" t="s">
        <v>60</v>
      </c>
      <c r="G47" s="4" t="s">
        <v>53</v>
      </c>
      <c r="H47" s="4" t="s">
        <v>61</v>
      </c>
      <c r="I47" s="4" t="s">
        <v>62</v>
      </c>
      <c r="J47" s="4" t="s">
        <v>63</v>
      </c>
      <c r="K47" s="4" t="s">
        <v>64</v>
      </c>
      <c r="L47" s="4" t="s">
        <v>65</v>
      </c>
      <c r="M47" s="4" t="s">
        <v>66</v>
      </c>
      <c r="N47" s="4" t="s">
        <v>67</v>
      </c>
      <c r="O47" s="4" t="s">
        <v>68</v>
      </c>
      <c r="P47" s="4" t="s">
        <v>69</v>
      </c>
      <c r="Q47" s="4" t="s">
        <v>70</v>
      </c>
      <c r="R47" s="4" t="s">
        <v>71</v>
      </c>
      <c r="S47" s="4" t="s">
        <v>72</v>
      </c>
      <c r="T47" s="4" t="s">
        <v>73</v>
      </c>
      <c r="U47" s="4" t="s">
        <v>74</v>
      </c>
      <c r="V47" s="4" t="s">
        <v>75</v>
      </c>
      <c r="W47" s="4" t="s">
        <v>76</v>
      </c>
      <c r="X47" s="4" t="s">
        <v>77</v>
      </c>
      <c r="Y47" s="4" t="s">
        <v>78</v>
      </c>
      <c r="Z47" s="4" t="s">
        <v>79</v>
      </c>
      <c r="AA47" s="4" t="s">
        <v>80</v>
      </c>
      <c r="AB47" s="4" t="s">
        <v>81</v>
      </c>
      <c r="AC47" s="4" t="s">
        <v>82</v>
      </c>
      <c r="AD47" s="4" t="s">
        <v>83</v>
      </c>
      <c r="AE47" s="4" t="s">
        <v>84</v>
      </c>
      <c r="AF47" s="4" t="s">
        <v>85</v>
      </c>
      <c r="AG47" s="4" t="s">
        <v>86</v>
      </c>
      <c r="AH47" s="4" t="s">
        <v>87</v>
      </c>
      <c r="AI47" s="4" t="s">
        <v>88</v>
      </c>
      <c r="AJ47" s="4" t="s">
        <v>89</v>
      </c>
      <c r="AK47" s="4" t="s">
        <v>90</v>
      </c>
      <c r="AL47" s="4" t="s">
        <v>91</v>
      </c>
      <c r="AM47" s="4" t="s">
        <v>92</v>
      </c>
      <c r="AN47" s="4" t="s">
        <v>93</v>
      </c>
      <c r="AO47" s="4" t="s">
        <v>94</v>
      </c>
      <c r="AP47" s="4" t="s">
        <v>95</v>
      </c>
      <c r="AQ47" s="4" t="s">
        <v>96</v>
      </c>
      <c r="AR47" s="4" t="s">
        <v>97</v>
      </c>
      <c r="AS47" s="4" t="s">
        <v>98</v>
      </c>
      <c r="AT47" s="4" t="s">
        <v>99</v>
      </c>
      <c r="AU47" s="4" t="s">
        <v>100</v>
      </c>
      <c r="AV47" s="4" t="s">
        <v>101</v>
      </c>
      <c r="AW47" s="4" t="s">
        <v>102</v>
      </c>
      <c r="AX47" s="4" t="s">
        <v>103</v>
      </c>
      <c r="AY47" s="4" t="s">
        <v>104</v>
      </c>
      <c r="AZ47" s="4" t="s">
        <v>105</v>
      </c>
      <c r="BA47" s="4" t="s">
        <v>106</v>
      </c>
      <c r="BB47" s="4" t="s">
        <v>107</v>
      </c>
      <c r="BC47" s="4" t="s">
        <v>108</v>
      </c>
      <c r="BD47" s="4" t="s">
        <v>109</v>
      </c>
      <c r="BE47" s="4" t="s">
        <v>110</v>
      </c>
      <c r="BF47" s="4" t="s">
        <v>111</v>
      </c>
      <c r="BG47" s="4" t="s">
        <v>112</v>
      </c>
      <c r="BH47" s="4" t="s">
        <v>113</v>
      </c>
    </row>
    <row r="48" spans="2:60" x14ac:dyDescent="0.3">
      <c r="B48" s="64" t="s">
        <v>262</v>
      </c>
      <c r="C48" s="64" t="s">
        <v>263</v>
      </c>
      <c r="D48" s="4" t="s">
        <v>264</v>
      </c>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row>
    <row r="49" spans="2:60" x14ac:dyDescent="0.3">
      <c r="B49" s="64" t="s">
        <v>265</v>
      </c>
      <c r="C49" s="64" t="s">
        <v>263</v>
      </c>
      <c r="D49" s="4" t="s">
        <v>264</v>
      </c>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row>
    <row r="50" spans="2:60" x14ac:dyDescent="0.3">
      <c r="B50" s="64" t="s">
        <v>266</v>
      </c>
      <c r="C50" s="64" t="s">
        <v>263</v>
      </c>
      <c r="D50" s="4" t="s">
        <v>264</v>
      </c>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row>
    <row r="51" spans="2:60" x14ac:dyDescent="0.3">
      <c r="B51" s="2" t="s">
        <v>267</v>
      </c>
      <c r="C51" s="64" t="s">
        <v>199</v>
      </c>
      <c r="D51" s="4" t="s">
        <v>172</v>
      </c>
      <c r="E51" s="37">
        <f>E$48*E$56+E$49*E$57+E$50*E$58</f>
        <v>0</v>
      </c>
      <c r="F51" s="37">
        <f t="shared" ref="F51:BH51" si="1">F$48*F$56+F$49*F$57+F$50*F$58</f>
        <v>0</v>
      </c>
      <c r="G51" s="37">
        <f t="shared" si="1"/>
        <v>0</v>
      </c>
      <c r="H51" s="37">
        <f t="shared" si="1"/>
        <v>0</v>
      </c>
      <c r="I51" s="37">
        <f t="shared" si="1"/>
        <v>0</v>
      </c>
      <c r="J51" s="37">
        <f t="shared" si="1"/>
        <v>0</v>
      </c>
      <c r="K51" s="37">
        <f t="shared" si="1"/>
        <v>0</v>
      </c>
      <c r="L51" s="37">
        <f t="shared" si="1"/>
        <v>0</v>
      </c>
      <c r="M51" s="37">
        <f t="shared" si="1"/>
        <v>0</v>
      </c>
      <c r="N51" s="37">
        <f t="shared" si="1"/>
        <v>0</v>
      </c>
      <c r="O51" s="37">
        <f t="shared" si="1"/>
        <v>0</v>
      </c>
      <c r="P51" s="37">
        <f t="shared" si="1"/>
        <v>0</v>
      </c>
      <c r="Q51" s="37">
        <f t="shared" si="1"/>
        <v>0</v>
      </c>
      <c r="R51" s="37">
        <f t="shared" si="1"/>
        <v>0</v>
      </c>
      <c r="S51" s="37">
        <f t="shared" si="1"/>
        <v>0</v>
      </c>
      <c r="T51" s="37">
        <f t="shared" si="1"/>
        <v>0</v>
      </c>
      <c r="U51" s="37">
        <f t="shared" si="1"/>
        <v>0</v>
      </c>
      <c r="V51" s="37">
        <f t="shared" si="1"/>
        <v>0</v>
      </c>
      <c r="W51" s="37">
        <f t="shared" si="1"/>
        <v>0</v>
      </c>
      <c r="X51" s="37">
        <f t="shared" si="1"/>
        <v>0</v>
      </c>
      <c r="Y51" s="37">
        <f t="shared" si="1"/>
        <v>0</v>
      </c>
      <c r="Z51" s="37">
        <f t="shared" si="1"/>
        <v>0</v>
      </c>
      <c r="AA51" s="37">
        <f t="shared" si="1"/>
        <v>0</v>
      </c>
      <c r="AB51" s="37">
        <f t="shared" si="1"/>
        <v>0</v>
      </c>
      <c r="AC51" s="37">
        <f t="shared" si="1"/>
        <v>0</v>
      </c>
      <c r="AD51" s="37">
        <f t="shared" si="1"/>
        <v>0</v>
      </c>
      <c r="AE51" s="37">
        <f t="shared" si="1"/>
        <v>0</v>
      </c>
      <c r="AF51" s="37">
        <f t="shared" si="1"/>
        <v>0</v>
      </c>
      <c r="AG51" s="37">
        <f t="shared" si="1"/>
        <v>0</v>
      </c>
      <c r="AH51" s="37">
        <f t="shared" si="1"/>
        <v>0</v>
      </c>
      <c r="AI51" s="37">
        <f t="shared" si="1"/>
        <v>0</v>
      </c>
      <c r="AJ51" s="37">
        <f t="shared" si="1"/>
        <v>0</v>
      </c>
      <c r="AK51" s="37">
        <f t="shared" si="1"/>
        <v>0</v>
      </c>
      <c r="AL51" s="37">
        <f t="shared" si="1"/>
        <v>0</v>
      </c>
      <c r="AM51" s="37">
        <f t="shared" si="1"/>
        <v>0</v>
      </c>
      <c r="AN51" s="37">
        <f t="shared" si="1"/>
        <v>0</v>
      </c>
      <c r="AO51" s="37">
        <f t="shared" si="1"/>
        <v>0</v>
      </c>
      <c r="AP51" s="37">
        <f t="shared" si="1"/>
        <v>0</v>
      </c>
      <c r="AQ51" s="37">
        <f t="shared" si="1"/>
        <v>0</v>
      </c>
      <c r="AR51" s="37">
        <f t="shared" si="1"/>
        <v>0</v>
      </c>
      <c r="AS51" s="37">
        <f t="shared" si="1"/>
        <v>0</v>
      </c>
      <c r="AT51" s="37">
        <f t="shared" si="1"/>
        <v>0</v>
      </c>
      <c r="AU51" s="37">
        <f t="shared" si="1"/>
        <v>0</v>
      </c>
      <c r="AV51" s="37">
        <f t="shared" si="1"/>
        <v>0</v>
      </c>
      <c r="AW51" s="37">
        <f t="shared" si="1"/>
        <v>0</v>
      </c>
      <c r="AX51" s="37">
        <f t="shared" si="1"/>
        <v>0</v>
      </c>
      <c r="AY51" s="37">
        <f t="shared" si="1"/>
        <v>0</v>
      </c>
      <c r="AZ51" s="37">
        <f t="shared" si="1"/>
        <v>0</v>
      </c>
      <c r="BA51" s="37">
        <f t="shared" si="1"/>
        <v>0</v>
      </c>
      <c r="BB51" s="37">
        <f t="shared" si="1"/>
        <v>0</v>
      </c>
      <c r="BC51" s="37">
        <f t="shared" si="1"/>
        <v>0</v>
      </c>
      <c r="BD51" s="37">
        <f t="shared" si="1"/>
        <v>0</v>
      </c>
      <c r="BE51" s="37">
        <f t="shared" si="1"/>
        <v>0</v>
      </c>
      <c r="BF51" s="37">
        <f t="shared" si="1"/>
        <v>0</v>
      </c>
      <c r="BG51" s="37">
        <f t="shared" si="1"/>
        <v>0</v>
      </c>
      <c r="BH51" s="37">
        <f t="shared" si="1"/>
        <v>0</v>
      </c>
    </row>
    <row r="53" spans="2:60" ht="15.6" x14ac:dyDescent="0.3">
      <c r="B53" s="1" t="s">
        <v>268</v>
      </c>
    </row>
    <row r="54" spans="2:60" x14ac:dyDescent="0.3">
      <c r="B54" s="3" t="s">
        <v>269</v>
      </c>
    </row>
    <row r="55" spans="2:60" x14ac:dyDescent="0.3">
      <c r="B55" s="4" t="s">
        <v>46</v>
      </c>
      <c r="C55" s="4" t="s">
        <v>58</v>
      </c>
      <c r="D55" s="4" t="s">
        <v>130</v>
      </c>
      <c r="E55" s="4" t="s">
        <v>202</v>
      </c>
      <c r="F55" s="4" t="s">
        <v>203</v>
      </c>
      <c r="G55" s="4" t="s">
        <v>204</v>
      </c>
      <c r="H55" s="4" t="s">
        <v>205</v>
      </c>
      <c r="I55" s="4" t="s">
        <v>206</v>
      </c>
      <c r="J55" s="4" t="s">
        <v>207</v>
      </c>
      <c r="K55" s="4" t="s">
        <v>208</v>
      </c>
      <c r="L55" s="4" t="s">
        <v>209</v>
      </c>
      <c r="M55" s="4" t="s">
        <v>210</v>
      </c>
      <c r="N55" s="4" t="s">
        <v>211</v>
      </c>
      <c r="O55" s="4" t="s">
        <v>212</v>
      </c>
      <c r="P55" s="4" t="s">
        <v>213</v>
      </c>
      <c r="Q55" s="4" t="s">
        <v>214</v>
      </c>
      <c r="R55" s="4" t="s">
        <v>215</v>
      </c>
      <c r="S55" s="4" t="s">
        <v>216</v>
      </c>
      <c r="T55" s="4" t="s">
        <v>217</v>
      </c>
      <c r="U55" s="4" t="s">
        <v>218</v>
      </c>
      <c r="V55" s="4" t="s">
        <v>219</v>
      </c>
      <c r="W55" s="4" t="s">
        <v>220</v>
      </c>
      <c r="X55" s="4" t="s">
        <v>221</v>
      </c>
      <c r="Y55" s="4" t="s">
        <v>222</v>
      </c>
      <c r="Z55" s="4" t="s">
        <v>223</v>
      </c>
      <c r="AA55" s="4" t="s">
        <v>224</v>
      </c>
      <c r="AB55" s="4" t="s">
        <v>225</v>
      </c>
      <c r="AC55" s="4" t="s">
        <v>226</v>
      </c>
      <c r="AD55" s="4" t="s">
        <v>227</v>
      </c>
      <c r="AE55" s="4" t="s">
        <v>228</v>
      </c>
      <c r="AF55" s="4" t="s">
        <v>229</v>
      </c>
      <c r="AG55" s="4" t="s">
        <v>230</v>
      </c>
      <c r="AH55" s="4" t="s">
        <v>231</v>
      </c>
      <c r="AI55" s="4" t="s">
        <v>232</v>
      </c>
      <c r="AJ55" s="4" t="s">
        <v>233</v>
      </c>
      <c r="AK55" s="4" t="s">
        <v>234</v>
      </c>
      <c r="AL55" s="4" t="s">
        <v>235</v>
      </c>
      <c r="AM55" s="4" t="s">
        <v>236</v>
      </c>
      <c r="AN55" s="4" t="s">
        <v>237</v>
      </c>
      <c r="AO55" s="4" t="s">
        <v>238</v>
      </c>
      <c r="AP55" s="4" t="s">
        <v>239</v>
      </c>
      <c r="AQ55" s="4" t="s">
        <v>240</v>
      </c>
      <c r="AR55" s="4" t="s">
        <v>241</v>
      </c>
      <c r="AS55" s="4" t="s">
        <v>242</v>
      </c>
      <c r="AT55" s="4" t="s">
        <v>243</v>
      </c>
      <c r="AU55" s="4" t="s">
        <v>244</v>
      </c>
      <c r="AV55" s="4" t="s">
        <v>245</v>
      </c>
      <c r="AW55" s="4" t="s">
        <v>246</v>
      </c>
      <c r="AX55" s="4" t="s">
        <v>247</v>
      </c>
      <c r="AY55" s="4" t="s">
        <v>248</v>
      </c>
      <c r="AZ55" s="4" t="s">
        <v>249</v>
      </c>
      <c r="BA55" s="4" t="s">
        <v>250</v>
      </c>
      <c r="BB55" s="4" t="s">
        <v>251</v>
      </c>
      <c r="BC55" s="4" t="s">
        <v>252</v>
      </c>
      <c r="BD55" s="4" t="s">
        <v>253</v>
      </c>
      <c r="BE55" s="4" t="s">
        <v>254</v>
      </c>
      <c r="BF55" s="4" t="s">
        <v>255</v>
      </c>
      <c r="BG55" s="4" t="s">
        <v>256</v>
      </c>
      <c r="BH55" s="4" t="s">
        <v>257</v>
      </c>
    </row>
    <row r="56" spans="2:60" x14ac:dyDescent="0.3">
      <c r="B56" s="2" t="str">
        <f>$B$48 &amp; " price"</f>
        <v>Carbon credit 1 price</v>
      </c>
      <c r="C56" s="64" t="s">
        <v>117</v>
      </c>
      <c r="D56" s="4" t="s">
        <v>172</v>
      </c>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row>
    <row r="57" spans="2:60" x14ac:dyDescent="0.3">
      <c r="B57" s="2" t="str">
        <f>$B$49 &amp; " price"</f>
        <v>Carbon credit 2 price</v>
      </c>
      <c r="C57" s="64" t="s">
        <v>117</v>
      </c>
      <c r="D57" s="4" t="s">
        <v>172</v>
      </c>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row>
    <row r="58" spans="2:60" x14ac:dyDescent="0.3">
      <c r="B58" s="2" t="str">
        <f>$B$50 &amp; " price"</f>
        <v>Carbon credit 3 price</v>
      </c>
      <c r="C58" s="64" t="s">
        <v>117</v>
      </c>
      <c r="D58" s="4" t="s">
        <v>172</v>
      </c>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row>
    <row r="63" spans="2:60" x14ac:dyDescent="0.3">
      <c r="I63" s="15"/>
    </row>
  </sheetData>
  <sheetProtection algorithmName="SHA-512" hashValue="Kjll/3dMaZVWRzqmbw67einiQ+LiWLEwstH/hXYKfNU5E0By8ecnxHZeslQHicOLiCGghCdplm8vJRz9GTZ8bw==" saltValue="1UrjIHdedhz9AdKFUvvJgg==" spinCount="100000" sheet="1" selectLockedCells="1"/>
  <phoneticPr fontId="5" type="noConversion"/>
  <dataValidations count="1">
    <dataValidation type="custom" allowBlank="1" showInputMessage="1" showErrorMessage="1" errorTitle="Invalid Input" error="Please enter a number." sqref="E37:BH38 E27:BH28 E43:BH43 E15:BH20" xr:uid="{69190A19-3396-4B8F-A05A-A8D8B812E64E}">
      <formula1>ISNUMBER(E15)</formula1>
    </dataValidation>
  </dataValidations>
  <hyperlinks>
    <hyperlink ref="C43" r:id="rId1" xr:uid="{9D7FD7CC-93B1-46A9-8923-955C41E874D1}"/>
  </hyperlinks>
  <pageMargins left="0.7" right="0.7" top="0.75" bottom="0.75" header="0.3" footer="0.3"/>
  <tableParts count="6">
    <tablePart r:id="rId2"/>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0FFFD-217E-4D0C-BA1B-61A1850617EB}">
  <sheetPr>
    <tabColor rgb="FFE6E1FD"/>
  </sheetPr>
  <dimension ref="B2:BG57"/>
  <sheetViews>
    <sheetView showGridLines="0" workbookViewId="0"/>
  </sheetViews>
  <sheetFormatPr defaultColWidth="8.88671875" defaultRowHeight="14.4" x14ac:dyDescent="0.3"/>
  <cols>
    <col min="1" max="1" width="2.6640625" style="2" customWidth="1"/>
    <col min="2" max="2" width="99.33203125" style="2" bestFit="1" customWidth="1"/>
    <col min="3" max="3" width="9" style="2" bestFit="1" customWidth="1"/>
    <col min="4" max="59" width="12.6640625" style="2" customWidth="1"/>
    <col min="60" max="16384" width="8.88671875" style="2"/>
  </cols>
  <sheetData>
    <row r="2" spans="2:59" x14ac:dyDescent="0.3">
      <c r="B2" s="20" t="s">
        <v>40</v>
      </c>
      <c r="C2" s="60" t="str">
        <f>Emissions!$C$2</f>
        <v>&lt;enter facility name&gt;</v>
      </c>
    </row>
    <row r="4" spans="2:59" ht="15.6" x14ac:dyDescent="0.3">
      <c r="B4" s="1" t="s">
        <v>42</v>
      </c>
    </row>
    <row r="5" spans="2:59" x14ac:dyDescent="0.3">
      <c r="B5" s="3" t="s">
        <v>270</v>
      </c>
    </row>
    <row r="6" spans="2:59" x14ac:dyDescent="0.3">
      <c r="B6" s="3" t="s">
        <v>271</v>
      </c>
    </row>
    <row r="7" spans="2:59" x14ac:dyDescent="0.3">
      <c r="C7" s="4"/>
    </row>
    <row r="8" spans="2:59" ht="15.6" x14ac:dyDescent="0.3">
      <c r="B8" s="1" t="s">
        <v>152</v>
      </c>
    </row>
    <row r="9" spans="2:59" x14ac:dyDescent="0.3">
      <c r="B9" s="4" t="s">
        <v>46</v>
      </c>
      <c r="C9" s="4" t="s">
        <v>130</v>
      </c>
      <c r="D9" s="4" t="s">
        <v>59</v>
      </c>
      <c r="E9" s="25" t="s">
        <v>60</v>
      </c>
      <c r="F9" s="25" t="s">
        <v>53</v>
      </c>
      <c r="G9" s="25" t="s">
        <v>61</v>
      </c>
      <c r="H9" s="25" t="s">
        <v>62</v>
      </c>
      <c r="I9" s="25" t="s">
        <v>63</v>
      </c>
      <c r="J9" s="25" t="s">
        <v>64</v>
      </c>
      <c r="K9" s="25" t="s">
        <v>65</v>
      </c>
      <c r="L9" s="25" t="s">
        <v>66</v>
      </c>
      <c r="M9" s="25" t="s">
        <v>67</v>
      </c>
      <c r="N9" s="25" t="s">
        <v>68</v>
      </c>
      <c r="O9" s="25" t="s">
        <v>69</v>
      </c>
      <c r="P9" s="25" t="s">
        <v>70</v>
      </c>
      <c r="Q9" s="25" t="s">
        <v>71</v>
      </c>
      <c r="R9" s="25" t="s">
        <v>72</v>
      </c>
      <c r="S9" s="25" t="s">
        <v>73</v>
      </c>
      <c r="T9" s="25" t="s">
        <v>74</v>
      </c>
      <c r="U9" s="25" t="s">
        <v>75</v>
      </c>
      <c r="V9" s="25" t="s">
        <v>76</v>
      </c>
      <c r="W9" s="25" t="s">
        <v>77</v>
      </c>
      <c r="X9" s="25" t="s">
        <v>78</v>
      </c>
      <c r="Y9" s="25" t="s">
        <v>79</v>
      </c>
      <c r="Z9" s="25" t="s">
        <v>80</v>
      </c>
      <c r="AA9" s="25" t="s">
        <v>81</v>
      </c>
      <c r="AB9" s="25" t="s">
        <v>82</v>
      </c>
      <c r="AC9" s="25" t="s">
        <v>83</v>
      </c>
      <c r="AD9" s="25" t="s">
        <v>84</v>
      </c>
      <c r="AE9" s="25" t="s">
        <v>85</v>
      </c>
      <c r="AF9" s="25" t="s">
        <v>86</v>
      </c>
      <c r="AG9" s="25" t="s">
        <v>87</v>
      </c>
      <c r="AH9" s="25" t="s">
        <v>88</v>
      </c>
      <c r="AI9" s="25" t="s">
        <v>89</v>
      </c>
      <c r="AJ9" s="25" t="s">
        <v>90</v>
      </c>
      <c r="AK9" s="25" t="s">
        <v>91</v>
      </c>
      <c r="AL9" s="25" t="s">
        <v>92</v>
      </c>
      <c r="AM9" s="25" t="s">
        <v>93</v>
      </c>
      <c r="AN9" s="25" t="s">
        <v>94</v>
      </c>
      <c r="AO9" s="25" t="s">
        <v>95</v>
      </c>
      <c r="AP9" s="25" t="s">
        <v>96</v>
      </c>
      <c r="AQ9" s="25" t="s">
        <v>97</v>
      </c>
      <c r="AR9" s="25" t="s">
        <v>98</v>
      </c>
      <c r="AS9" s="25" t="s">
        <v>99</v>
      </c>
      <c r="AT9" s="25" t="s">
        <v>100</v>
      </c>
      <c r="AU9" s="25" t="s">
        <v>101</v>
      </c>
      <c r="AV9" s="25" t="s">
        <v>102</v>
      </c>
      <c r="AW9" s="25" t="s">
        <v>103</v>
      </c>
      <c r="AX9" s="25" t="s">
        <v>104</v>
      </c>
      <c r="AY9" s="25" t="s">
        <v>105</v>
      </c>
      <c r="AZ9" s="25" t="s">
        <v>106</v>
      </c>
      <c r="BA9" s="25" t="s">
        <v>107</v>
      </c>
      <c r="BB9" s="25" t="s">
        <v>108</v>
      </c>
      <c r="BC9" s="25" t="s">
        <v>109</v>
      </c>
      <c r="BD9" s="25" t="s">
        <v>110</v>
      </c>
      <c r="BE9" s="25" t="s">
        <v>111</v>
      </c>
      <c r="BF9" s="25" t="s">
        <v>112</v>
      </c>
      <c r="BG9" s="25" t="s">
        <v>113</v>
      </c>
    </row>
    <row r="10" spans="2:59" x14ac:dyDescent="0.3">
      <c r="B10" s="26" t="s">
        <v>272</v>
      </c>
      <c r="C10" s="7" t="s">
        <v>172</v>
      </c>
      <c r="D10" s="22" cm="1">
        <f t="array" ref="D10">ProjAbate[[#Totals],[FY24/25]]*ACCUPrice[2024]+Finance!E$38+Finance!E$51</f>
        <v>0</v>
      </c>
      <c r="E10" s="22" cm="1">
        <f t="array" ref="E10">ProjAbate[[#Totals],[FY25/26]]*ACCUPrice[2025]+Finance!F$38+Finance!F$51</f>
        <v>0</v>
      </c>
      <c r="F10" s="22" cm="1">
        <f t="array" ref="F10">ProjAbate[[#Totals],[FY26/27]]*ACCUPrice[2026]+Finance!G$38+Finance!G$51</f>
        <v>0</v>
      </c>
      <c r="G10" s="22" cm="1">
        <f t="array" ref="G10">ProjAbate[[#Totals],[FY27/28]]*ACCUPrice[2027]+Finance!H$38+Finance!H$51</f>
        <v>0</v>
      </c>
      <c r="H10" s="22" cm="1">
        <f t="array" ref="H10">ProjAbate[[#Totals],[FY28/29]]*ACCUPrice[2028]+Finance!I$38+Finance!I$51</f>
        <v>0</v>
      </c>
      <c r="I10" s="22" cm="1">
        <f t="array" ref="I10">ProjAbate[[#Totals],[FY29/30]]*ACCUPrice[2029]+Finance!J$38+Finance!J$51</f>
        <v>0</v>
      </c>
      <c r="J10" s="22" cm="1">
        <f t="array" ref="J10">ProjAbate[[#Totals],[FY30/31]]*ACCUPrice[2030]+Finance!K$38+Finance!K$51</f>
        <v>0</v>
      </c>
      <c r="K10" s="22" cm="1">
        <f t="array" ref="K10">ProjAbate[[#Totals],[FY31/32]]*ACCUPrice[2031]+Finance!L$38+Finance!L$51</f>
        <v>0</v>
      </c>
      <c r="L10" s="22" cm="1">
        <f t="array" ref="L10">ProjAbate[[#Totals],[FY32/33]]*ACCUPrice[2032]+Finance!M$38+Finance!M$51</f>
        <v>0</v>
      </c>
      <c r="M10" s="22" cm="1">
        <f t="array" ref="M10">ProjAbate[[#Totals],[FY33/34]]*ACCUPrice[2033]+Finance!N$38+Finance!N$51</f>
        <v>0</v>
      </c>
      <c r="N10" s="22" cm="1">
        <f t="array" ref="N10">ProjAbate[[#Totals],[FY34/35]]*ACCUPrice[2034]+Finance!O$38+Finance!O$51</f>
        <v>0</v>
      </c>
      <c r="O10" s="22" cm="1">
        <f t="array" ref="O10">ProjAbate[[#Totals],[FY35/36]]*ACCUPrice[2035]+Finance!P$38+Finance!P$51</f>
        <v>0</v>
      </c>
      <c r="P10" s="22" cm="1">
        <f t="array" ref="P10">ProjAbate[[#Totals],[FY36/37]]*ACCUPrice[2036]+Finance!Q$38+Finance!Q$51</f>
        <v>0</v>
      </c>
      <c r="Q10" s="22" cm="1">
        <f t="array" ref="Q10">ProjAbate[[#Totals],[FY37/38]]*ACCUPrice[2037]+Finance!R$38+Finance!R$51</f>
        <v>0</v>
      </c>
      <c r="R10" s="22" cm="1">
        <f t="array" ref="R10">ProjAbate[[#Totals],[FY38/39]]*ACCUPrice[2038]+Finance!S$38+Finance!S$51</f>
        <v>0</v>
      </c>
      <c r="S10" s="22" cm="1">
        <f t="array" ref="S10">ProjAbate[[#Totals],[FY39/40]]*ACCUPrice[2039]+Finance!T$38+Finance!T$51</f>
        <v>0</v>
      </c>
      <c r="T10" s="22" cm="1">
        <f t="array" ref="T10">ProjAbate[[#Totals],[FY40/41]]*ACCUPrice[2040]+Finance!U$38+Finance!U$51</f>
        <v>0</v>
      </c>
      <c r="U10" s="22" cm="1">
        <f t="array" ref="U10">ProjAbate[[#Totals],[FY41/42]]*ACCUPrice[2041]+Finance!V$38+Finance!V$51</f>
        <v>0</v>
      </c>
      <c r="V10" s="22" cm="1">
        <f t="array" ref="V10">ProjAbate[[#Totals],[FY42/43]]*ACCUPrice[2042]+Finance!W$38+Finance!W$51</f>
        <v>0</v>
      </c>
      <c r="W10" s="22" cm="1">
        <f t="array" ref="W10">ProjAbate[[#Totals],[FY43/44]]*ACCUPrice[2043]+Finance!X$38+Finance!X$51</f>
        <v>0</v>
      </c>
      <c r="X10" s="22" cm="1">
        <f t="array" ref="X10">ProjAbate[[#Totals],[FY44/45]]*ACCUPrice[2044]+Finance!Y$38+Finance!Y$51</f>
        <v>0</v>
      </c>
      <c r="Y10" s="22" cm="1">
        <f t="array" ref="Y10">ProjAbate[[#Totals],[FY45/46]]*ACCUPrice[2045]+Finance!Z$38+Finance!Z$51</f>
        <v>0</v>
      </c>
      <c r="Z10" s="22" cm="1">
        <f t="array" ref="Z10">ProjAbate[[#Totals],[FY46/47]]*ACCUPrice[2046]+Finance!AA$38+Finance!AA$51</f>
        <v>0</v>
      </c>
      <c r="AA10" s="22" cm="1">
        <f t="array" ref="AA10">ProjAbate[[#Totals],[FY47/48]]*ACCUPrice[2047]+Finance!AB$38+Finance!AB$51</f>
        <v>0</v>
      </c>
      <c r="AB10" s="22" cm="1">
        <f t="array" ref="AB10">ProjAbate[[#Totals],[FY48/49]]*ACCUPrice[2048]+Finance!AC$38+Finance!AC$51</f>
        <v>0</v>
      </c>
      <c r="AC10" s="22" cm="1">
        <f t="array" ref="AC10">ProjAbate[[#Totals],[FY49/50]]*ACCUPrice[2049]+Finance!AD$38+Finance!AD$51</f>
        <v>0</v>
      </c>
      <c r="AD10" s="22" cm="1">
        <f t="array" ref="AD10">ProjAbate[[#Totals],[FY50/51]]*ACCUPrice[2050]+Finance!AE$38+Finance!AE$51</f>
        <v>0</v>
      </c>
      <c r="AE10" s="22" cm="1">
        <f t="array" ref="AE10">ProjAbate[[#Totals],[FY51/52]]*ACCUPrice[2051]+Finance!AF$38+Finance!AF$51</f>
        <v>0</v>
      </c>
      <c r="AF10" s="22" cm="1">
        <f t="array" ref="AF10">ProjAbate[[#Totals],[FY52/53]]*ACCUPrice[2052]+Finance!AG$38+Finance!AG$51</f>
        <v>0</v>
      </c>
      <c r="AG10" s="22" cm="1">
        <f t="array" ref="AG10">ProjAbate[[#Totals],[FY53/54]]*ACCUPrice[2053]+Finance!AH$38+Finance!AH$51</f>
        <v>0</v>
      </c>
      <c r="AH10" s="22" cm="1">
        <f t="array" ref="AH10">ProjAbate[[#Totals],[FY54/55]]*ACCUPrice[2054]+Finance!AI$38+Finance!AI$51</f>
        <v>0</v>
      </c>
      <c r="AI10" s="22" cm="1">
        <f t="array" ref="AI10">ProjAbate[[#Totals],[FY55/56]]*ACCUPrice[2055]+Finance!AJ$38+Finance!AJ$51</f>
        <v>0</v>
      </c>
      <c r="AJ10" s="22" cm="1">
        <f t="array" ref="AJ10">ProjAbate[[#Totals],[FY56/57]]*ACCUPrice[2056]+Finance!AK$38+Finance!AK$51</f>
        <v>0</v>
      </c>
      <c r="AK10" s="22" cm="1">
        <f t="array" ref="AK10">ProjAbate[[#Totals],[FY57/58]]*ACCUPrice[2057]+Finance!AL$38+Finance!AL$51</f>
        <v>0</v>
      </c>
      <c r="AL10" s="22" cm="1">
        <f t="array" ref="AL10">ProjAbate[[#Totals],[FY58/59]]*ACCUPrice[2058]+Finance!AM$38+Finance!AM$51</f>
        <v>0</v>
      </c>
      <c r="AM10" s="22" cm="1">
        <f t="array" ref="AM10">ProjAbate[[#Totals],[FY59/60]]*ACCUPrice[2059]+Finance!AN$38+Finance!AN$51</f>
        <v>0</v>
      </c>
      <c r="AN10" s="22" cm="1">
        <f t="array" ref="AN10">ProjAbate[[#Totals],[FY60/61]]*ACCUPrice[2060]+Finance!AO$38+Finance!AO$51</f>
        <v>0</v>
      </c>
      <c r="AO10" s="22" cm="1">
        <f t="array" ref="AO10">ProjAbate[[#Totals],[FY61/62]]*ACCUPrice[2061]+Finance!AP$38+Finance!AP$51</f>
        <v>0</v>
      </c>
      <c r="AP10" s="22" cm="1">
        <f t="array" ref="AP10">ProjAbate[[#Totals],[FY62/63]]*ACCUPrice[2062]+Finance!AQ$38+Finance!AQ$51</f>
        <v>0</v>
      </c>
      <c r="AQ10" s="22" cm="1">
        <f t="array" ref="AQ10">ProjAbate[[#Totals],[FY63/64]]*ACCUPrice[2063]+Finance!AR$38+Finance!AR$51</f>
        <v>0</v>
      </c>
      <c r="AR10" s="22" cm="1">
        <f t="array" ref="AR10">ProjAbate[[#Totals],[FY64/65]]*ACCUPrice[2064]+Finance!AS$38+Finance!AS$51</f>
        <v>0</v>
      </c>
      <c r="AS10" s="22" cm="1">
        <f t="array" ref="AS10">ProjAbate[[#Totals],[FY65/66]]*ACCUPrice[2065]+Finance!AT$38+Finance!AT$51</f>
        <v>0</v>
      </c>
      <c r="AT10" s="22" cm="1">
        <f t="array" ref="AT10">ProjAbate[[#Totals],[FY66/67]]*ACCUPrice[2066]+Finance!AU$38+Finance!AU$51</f>
        <v>0</v>
      </c>
      <c r="AU10" s="22" cm="1">
        <f t="array" ref="AU10">ProjAbate[[#Totals],[FY67/68]]*ACCUPrice[2067]+Finance!AV$38+Finance!AV$51</f>
        <v>0</v>
      </c>
      <c r="AV10" s="22" cm="1">
        <f t="array" ref="AV10">ProjAbate[[#Totals],[FY68/69]]*ACCUPrice[2068]+Finance!AW$38+Finance!AW$51</f>
        <v>0</v>
      </c>
      <c r="AW10" s="22" cm="1">
        <f t="array" ref="AW10">ProjAbate[[#Totals],[FY69/70]]*ACCUPrice[2069]+Finance!AX$38+Finance!AX$51</f>
        <v>0</v>
      </c>
      <c r="AX10" s="22" cm="1">
        <f t="array" ref="AX10">ProjAbate[[#Totals],[FY70/71]]*ACCUPrice[2070]+Finance!AY$38+Finance!AY$51</f>
        <v>0</v>
      </c>
      <c r="AY10" s="22" cm="1">
        <f t="array" ref="AY10">ProjAbate[[#Totals],[FY71/72]]*ACCUPrice[2071]+Finance!AZ$38+Finance!AZ$51</f>
        <v>0</v>
      </c>
      <c r="AZ10" s="22" cm="1">
        <f t="array" ref="AZ10">ProjAbate[[#Totals],[FY72/73]]*ACCUPrice[2072]+Finance!BA$38+Finance!BA$51</f>
        <v>0</v>
      </c>
      <c r="BA10" s="22" cm="1">
        <f t="array" ref="BA10">ProjAbate[[#Totals],[FY73/74]]*ACCUPrice[2073]+Finance!BB$38+Finance!BB$51</f>
        <v>0</v>
      </c>
      <c r="BB10" s="22" cm="1">
        <f t="array" ref="BB10">ProjAbate[[#Totals],[FY74/75]]*ACCUPrice[2074]+Finance!BC$38+Finance!BC$51</f>
        <v>0</v>
      </c>
      <c r="BC10" s="22" cm="1">
        <f t="array" ref="BC10">ProjAbate[[#Totals],[FY75/76]]*ACCUPrice[2075]+Finance!BD$38+Finance!BD$51</f>
        <v>0</v>
      </c>
      <c r="BD10" s="22" cm="1">
        <f t="array" ref="BD10">ProjAbate[[#Totals],[FY76/77]]*ACCUPrice[2076]+Finance!BE$38+Finance!BE$51</f>
        <v>0</v>
      </c>
      <c r="BE10" s="22" cm="1">
        <f t="array" ref="BE10">ProjAbate[[#Totals],[FY77/78]]*ACCUPrice[2077]+Finance!BF$38+Finance!BF$51</f>
        <v>0</v>
      </c>
      <c r="BF10" s="22" cm="1">
        <f t="array" ref="BF10">ProjAbate[[#Totals],[FY78/79]]*ACCUPrice[2078]+Finance!BG$38+Finance!BG$51</f>
        <v>0</v>
      </c>
      <c r="BG10" s="22" cm="1">
        <f t="array" ref="BG10">ProjAbate[[#Totals],[FY79/80]]*ACCUPrice[2079]+Finance!BH$38+Finance!BH$51</f>
        <v>0</v>
      </c>
    </row>
    <row r="11" spans="2:59" x14ac:dyDescent="0.3">
      <c r="B11" s="26" t="s">
        <v>273</v>
      </c>
      <c r="C11" s="7" t="s">
        <v>172</v>
      </c>
      <c r="D11" s="16">
        <f>NetCosts[[#Totals],[FY24/25]]</f>
        <v>0</v>
      </c>
      <c r="E11" s="16">
        <f>NetCosts[[#Totals],[FY25/26]]</f>
        <v>0</v>
      </c>
      <c r="F11" s="16">
        <f>NetCosts[[#Totals],[FY26/27]]</f>
        <v>0</v>
      </c>
      <c r="G11" s="16">
        <f>NetCosts[[#Totals],[FY27/28]]</f>
        <v>0</v>
      </c>
      <c r="H11" s="16">
        <f>NetCosts[[#Totals],[FY28/29]]</f>
        <v>0</v>
      </c>
      <c r="I11" s="16">
        <f>NetCosts[[#Totals],[FY29/30]]</f>
        <v>0</v>
      </c>
      <c r="J11" s="16">
        <f>NetCosts[[#Totals],[FY30/31]]</f>
        <v>0</v>
      </c>
      <c r="K11" s="16">
        <f>NetCosts[[#Totals],[FY31/32]]</f>
        <v>0</v>
      </c>
      <c r="L11" s="16">
        <f>NetCosts[[#Totals],[FY32/33]]</f>
        <v>0</v>
      </c>
      <c r="M11" s="16">
        <f>NetCosts[[#Totals],[FY33/34]]</f>
        <v>0</v>
      </c>
      <c r="N11" s="16">
        <f>NetCosts[[#Totals],[FY34/35]]</f>
        <v>0</v>
      </c>
      <c r="O11" s="16">
        <f>NetCosts[[#Totals],[FY35/36]]</f>
        <v>0</v>
      </c>
      <c r="P11" s="16">
        <f>NetCosts[[#Totals],[FY36/37]]</f>
        <v>0</v>
      </c>
      <c r="Q11" s="16">
        <f>NetCosts[[#Totals],[FY37/38]]</f>
        <v>0</v>
      </c>
      <c r="R11" s="16">
        <f>NetCosts[[#Totals],[FY38/39]]</f>
        <v>0</v>
      </c>
      <c r="S11" s="16">
        <f>NetCosts[[#Totals],[FY39/40]]</f>
        <v>0</v>
      </c>
      <c r="T11" s="16">
        <f>NetCosts[[#Totals],[FY40/41]]</f>
        <v>0</v>
      </c>
      <c r="U11" s="16">
        <f>NetCosts[[#Totals],[FY41/42]]</f>
        <v>0</v>
      </c>
      <c r="V11" s="16">
        <f>NetCosts[[#Totals],[FY42/43]]</f>
        <v>0</v>
      </c>
      <c r="W11" s="16">
        <f>NetCosts[[#Totals],[FY43/44]]</f>
        <v>0</v>
      </c>
      <c r="X11" s="16">
        <f>NetCosts[[#Totals],[FY44/45]]</f>
        <v>0</v>
      </c>
      <c r="Y11" s="16">
        <f>NetCosts[[#Totals],[FY45/46]]</f>
        <v>0</v>
      </c>
      <c r="Z11" s="16">
        <f>NetCosts[[#Totals],[FY46/47]]</f>
        <v>0</v>
      </c>
      <c r="AA11" s="16">
        <f>NetCosts[[#Totals],[FY47/48]]</f>
        <v>0</v>
      </c>
      <c r="AB11" s="16">
        <f>NetCosts[[#Totals],[FY48/49]]</f>
        <v>0</v>
      </c>
      <c r="AC11" s="16">
        <f>NetCosts[[#Totals],[FY49/50]]</f>
        <v>0</v>
      </c>
      <c r="AD11" s="16">
        <f>NetCosts[[#Totals],[FY50/51]]</f>
        <v>0</v>
      </c>
      <c r="AE11" s="16">
        <f>NetCosts[[#Totals],[FY51/52]]</f>
        <v>0</v>
      </c>
      <c r="AF11" s="16">
        <f>NetCosts[[#Totals],[FY52/53]]</f>
        <v>0</v>
      </c>
      <c r="AG11" s="16">
        <f>NetCosts[[#Totals],[FY53/54]]</f>
        <v>0</v>
      </c>
      <c r="AH11" s="16">
        <f>NetCosts[[#Totals],[FY54/55]]</f>
        <v>0</v>
      </c>
      <c r="AI11" s="16">
        <f>NetCosts[[#Totals],[FY55/56]]</f>
        <v>0</v>
      </c>
      <c r="AJ11" s="16">
        <f>NetCosts[[#Totals],[FY56/57]]</f>
        <v>0</v>
      </c>
      <c r="AK11" s="16">
        <f>NetCosts[[#Totals],[FY57/58]]</f>
        <v>0</v>
      </c>
      <c r="AL11" s="16">
        <f>NetCosts[[#Totals],[FY58/59]]</f>
        <v>0</v>
      </c>
      <c r="AM11" s="16">
        <f>NetCosts[[#Totals],[FY59/60]]</f>
        <v>0</v>
      </c>
      <c r="AN11" s="16">
        <f>NetCosts[[#Totals],[FY60/61]]</f>
        <v>0</v>
      </c>
      <c r="AO11" s="16">
        <f>NetCosts[[#Totals],[FY61/62]]</f>
        <v>0</v>
      </c>
      <c r="AP11" s="16">
        <f>NetCosts[[#Totals],[FY62/63]]</f>
        <v>0</v>
      </c>
      <c r="AQ11" s="16">
        <f>NetCosts[[#Totals],[FY63/64]]</f>
        <v>0</v>
      </c>
      <c r="AR11" s="16">
        <f>NetCosts[[#Totals],[FY64/65]]</f>
        <v>0</v>
      </c>
      <c r="AS11" s="16">
        <f>NetCosts[[#Totals],[FY65/66]]</f>
        <v>0</v>
      </c>
      <c r="AT11" s="16">
        <f>NetCosts[[#Totals],[FY66/67]]</f>
        <v>0</v>
      </c>
      <c r="AU11" s="16">
        <f>NetCosts[[#Totals],[FY67/68]]</f>
        <v>0</v>
      </c>
      <c r="AV11" s="16">
        <f>NetCosts[[#Totals],[FY68/69]]</f>
        <v>0</v>
      </c>
      <c r="AW11" s="16">
        <f>NetCosts[[#Totals],[FY69/70]]</f>
        <v>0</v>
      </c>
      <c r="AX11" s="16">
        <f>NetCosts[[#Totals],[FY70/71]]</f>
        <v>0</v>
      </c>
      <c r="AY11" s="16">
        <f>NetCosts[[#Totals],[FY71/72]]</f>
        <v>0</v>
      </c>
      <c r="AZ11" s="16">
        <f>NetCosts[[#Totals],[FY72/73]]</f>
        <v>0</v>
      </c>
      <c r="BA11" s="16">
        <f>NetCosts[[#Totals],[FY73/74]]</f>
        <v>0</v>
      </c>
      <c r="BB11" s="16">
        <f>NetCosts[[#Totals],[FY74/75]]</f>
        <v>0</v>
      </c>
      <c r="BC11" s="16">
        <f>NetCosts[[#Totals],[FY75/76]]</f>
        <v>0</v>
      </c>
      <c r="BD11" s="16">
        <f>NetCosts[[#Totals],[FY76/77]]</f>
        <v>0</v>
      </c>
      <c r="BE11" s="16">
        <f>NetCosts[[#Totals],[FY77/78]]</f>
        <v>0</v>
      </c>
      <c r="BF11" s="16">
        <f>NetCosts[[#Totals],[FY78/79]]</f>
        <v>0</v>
      </c>
      <c r="BG11" s="27">
        <f>NetCosts[[#Totals],[FY79/80]]</f>
        <v>0</v>
      </c>
    </row>
    <row r="12" spans="2:59" x14ac:dyDescent="0.3">
      <c r="B12" s="26" t="s">
        <v>274</v>
      </c>
      <c r="C12" s="7" t="s">
        <v>172</v>
      </c>
      <c r="D12" s="16">
        <f>NetCosts[[#Totals],[FY24/25]]+ProjLEIP[[#Totals],[FY24/25]]</f>
        <v>0</v>
      </c>
      <c r="E12" s="16">
        <f>NetCosts[[#Totals],[FY25/26]]+ProjLEIP[[#Totals],[FY25/26]]</f>
        <v>0</v>
      </c>
      <c r="F12" s="16">
        <f>NetCosts[[#Totals],[FY26/27]]+ProjLEIP[[#Totals],[FY26/27]]</f>
        <v>0</v>
      </c>
      <c r="G12" s="16">
        <f>NetCosts[[#Totals],[FY27/28]]+ProjLEIP[[#Totals],[FY27/28]]</f>
        <v>0</v>
      </c>
      <c r="H12" s="16">
        <f>NetCosts[[#Totals],[FY28/29]]+ProjLEIP[[#Totals],[FY28/29]]</f>
        <v>0</v>
      </c>
      <c r="I12" s="16">
        <f>NetCosts[[#Totals],[FY29/30]]+ProjLEIP[[#Totals],[FY29/30]]</f>
        <v>0</v>
      </c>
      <c r="J12" s="16">
        <f>NetCosts[[#Totals],[FY30/31]]+ProjLEIP[[#Totals],[FY30/31]]</f>
        <v>0</v>
      </c>
      <c r="K12" s="16">
        <f>NetCosts[[#Totals],[FY31/32]]+ProjLEIP[[#Totals],[FY31/32]]</f>
        <v>0</v>
      </c>
      <c r="L12" s="16">
        <f>NetCosts[[#Totals],[FY32/33]]+ProjLEIP[[#Totals],[FY32/33]]</f>
        <v>0</v>
      </c>
      <c r="M12" s="16">
        <f>NetCosts[[#Totals],[FY33/34]]+ProjLEIP[[#Totals],[FY33/34]]</f>
        <v>0</v>
      </c>
      <c r="N12" s="16">
        <f>NetCosts[[#Totals],[FY34/35]]+ProjLEIP[[#Totals],[FY34/35]]</f>
        <v>0</v>
      </c>
      <c r="O12" s="16">
        <f>NetCosts[[#Totals],[FY35/36]]+ProjLEIP[[#Totals],[FY35/36]]</f>
        <v>0</v>
      </c>
      <c r="P12" s="16">
        <f>NetCosts[[#Totals],[FY36/37]]+ProjLEIP[[#Totals],[FY36/37]]</f>
        <v>0</v>
      </c>
      <c r="Q12" s="16">
        <f>NetCosts[[#Totals],[FY37/38]]+ProjLEIP[[#Totals],[FY37/38]]</f>
        <v>0</v>
      </c>
      <c r="R12" s="16">
        <f>NetCosts[[#Totals],[FY38/39]]+ProjLEIP[[#Totals],[FY38/39]]</f>
        <v>0</v>
      </c>
      <c r="S12" s="16">
        <f>NetCosts[[#Totals],[FY39/40]]+ProjLEIP[[#Totals],[FY39/40]]</f>
        <v>0</v>
      </c>
      <c r="T12" s="16">
        <f>NetCosts[[#Totals],[FY40/41]]+ProjLEIP[[#Totals],[FY40/41]]</f>
        <v>0</v>
      </c>
      <c r="U12" s="16">
        <f>NetCosts[[#Totals],[FY41/42]]+ProjLEIP[[#Totals],[FY41/42]]</f>
        <v>0</v>
      </c>
      <c r="V12" s="16">
        <f>NetCosts[[#Totals],[FY42/43]]+ProjLEIP[[#Totals],[FY42/43]]</f>
        <v>0</v>
      </c>
      <c r="W12" s="16">
        <f>NetCosts[[#Totals],[FY43/44]]+ProjLEIP[[#Totals],[FY43/44]]</f>
        <v>0</v>
      </c>
      <c r="X12" s="16">
        <f>NetCosts[[#Totals],[FY44/45]]+ProjLEIP[[#Totals],[FY44/45]]</f>
        <v>0</v>
      </c>
      <c r="Y12" s="16">
        <f>NetCosts[[#Totals],[FY45/46]]+ProjLEIP[[#Totals],[FY45/46]]</f>
        <v>0</v>
      </c>
      <c r="Z12" s="16">
        <f>NetCosts[[#Totals],[FY46/47]]+ProjLEIP[[#Totals],[FY46/47]]</f>
        <v>0</v>
      </c>
      <c r="AA12" s="16">
        <f>NetCosts[[#Totals],[FY47/48]]+ProjLEIP[[#Totals],[FY47/48]]</f>
        <v>0</v>
      </c>
      <c r="AB12" s="16">
        <f>NetCosts[[#Totals],[FY48/49]]+ProjLEIP[[#Totals],[FY48/49]]</f>
        <v>0</v>
      </c>
      <c r="AC12" s="16">
        <f>NetCosts[[#Totals],[FY49/50]]+ProjLEIP[[#Totals],[FY49/50]]</f>
        <v>0</v>
      </c>
      <c r="AD12" s="16">
        <f>NetCosts[[#Totals],[FY50/51]]+ProjLEIP[[#Totals],[FY50/51]]</f>
        <v>0</v>
      </c>
      <c r="AE12" s="16">
        <f>NetCosts[[#Totals],[FY51/52]]+ProjLEIP[[#Totals],[FY51/52]]</f>
        <v>0</v>
      </c>
      <c r="AF12" s="16">
        <f>NetCosts[[#Totals],[FY52/53]]+ProjLEIP[[#Totals],[FY52/53]]</f>
        <v>0</v>
      </c>
      <c r="AG12" s="16">
        <f>NetCosts[[#Totals],[FY53/54]]+ProjLEIP[[#Totals],[FY53/54]]</f>
        <v>0</v>
      </c>
      <c r="AH12" s="16">
        <f>NetCosts[[#Totals],[FY54/55]]+ProjLEIP[[#Totals],[FY54/55]]</f>
        <v>0</v>
      </c>
      <c r="AI12" s="16">
        <f>NetCosts[[#Totals],[FY55/56]]+ProjLEIP[[#Totals],[FY55/56]]</f>
        <v>0</v>
      </c>
      <c r="AJ12" s="16">
        <f>NetCosts[[#Totals],[FY56/57]]+ProjLEIP[[#Totals],[FY56/57]]</f>
        <v>0</v>
      </c>
      <c r="AK12" s="16">
        <f>NetCosts[[#Totals],[FY57/58]]+ProjLEIP[[#Totals],[FY57/58]]</f>
        <v>0</v>
      </c>
      <c r="AL12" s="16">
        <f>NetCosts[[#Totals],[FY58/59]]+ProjLEIP[[#Totals],[FY58/59]]</f>
        <v>0</v>
      </c>
      <c r="AM12" s="16">
        <f>NetCosts[[#Totals],[FY59/60]]+ProjLEIP[[#Totals],[FY59/60]]</f>
        <v>0</v>
      </c>
      <c r="AN12" s="16">
        <f>NetCosts[[#Totals],[FY60/61]]+ProjLEIP[[#Totals],[FY60/61]]</f>
        <v>0</v>
      </c>
      <c r="AO12" s="16">
        <f>NetCosts[[#Totals],[FY61/62]]+ProjLEIP[[#Totals],[FY61/62]]</f>
        <v>0</v>
      </c>
      <c r="AP12" s="16">
        <f>NetCosts[[#Totals],[FY62/63]]+ProjLEIP[[#Totals],[FY62/63]]</f>
        <v>0</v>
      </c>
      <c r="AQ12" s="16">
        <f>NetCosts[[#Totals],[FY63/64]]+ProjLEIP[[#Totals],[FY63/64]]</f>
        <v>0</v>
      </c>
      <c r="AR12" s="16">
        <f>NetCosts[[#Totals],[FY64/65]]+ProjLEIP[[#Totals],[FY64/65]]</f>
        <v>0</v>
      </c>
      <c r="AS12" s="16">
        <f>NetCosts[[#Totals],[FY65/66]]+ProjLEIP[[#Totals],[FY65/66]]</f>
        <v>0</v>
      </c>
      <c r="AT12" s="16">
        <f>NetCosts[[#Totals],[FY66/67]]+ProjLEIP[[#Totals],[FY66/67]]</f>
        <v>0</v>
      </c>
      <c r="AU12" s="16">
        <f>NetCosts[[#Totals],[FY67/68]]+ProjLEIP[[#Totals],[FY67/68]]</f>
        <v>0</v>
      </c>
      <c r="AV12" s="16">
        <f>NetCosts[[#Totals],[FY68/69]]+ProjLEIP[[#Totals],[FY68/69]]</f>
        <v>0</v>
      </c>
      <c r="AW12" s="16">
        <f>NetCosts[[#Totals],[FY69/70]]+ProjLEIP[[#Totals],[FY69/70]]</f>
        <v>0</v>
      </c>
      <c r="AX12" s="16">
        <f>NetCosts[[#Totals],[FY70/71]]+ProjLEIP[[#Totals],[FY70/71]]</f>
        <v>0</v>
      </c>
      <c r="AY12" s="16">
        <f>NetCosts[[#Totals],[FY71/72]]+ProjLEIP[[#Totals],[FY71/72]]</f>
        <v>0</v>
      </c>
      <c r="AZ12" s="16">
        <f>NetCosts[[#Totals],[FY72/73]]+ProjLEIP[[#Totals],[FY72/73]]</f>
        <v>0</v>
      </c>
      <c r="BA12" s="16">
        <f>NetCosts[[#Totals],[FY73/74]]+ProjLEIP[[#Totals],[FY73/74]]</f>
        <v>0</v>
      </c>
      <c r="BB12" s="16">
        <f>NetCosts[[#Totals],[FY74/75]]+ProjLEIP[[#Totals],[FY74/75]]</f>
        <v>0</v>
      </c>
      <c r="BC12" s="16">
        <f>NetCosts[[#Totals],[FY75/76]]+ProjLEIP[[#Totals],[FY75/76]]</f>
        <v>0</v>
      </c>
      <c r="BD12" s="16">
        <f>NetCosts[[#Totals],[FY76/77]]+ProjLEIP[[#Totals],[FY76/77]]</f>
        <v>0</v>
      </c>
      <c r="BE12" s="16">
        <f>NetCosts[[#Totals],[FY77/78]]+ProjLEIP[[#Totals],[FY77/78]]</f>
        <v>0</v>
      </c>
      <c r="BF12" s="16">
        <f>NetCosts[[#Totals],[FY78/79]]+ProjLEIP[[#Totals],[FY78/79]]</f>
        <v>0</v>
      </c>
      <c r="BG12" s="27">
        <f>NetCosts[[#Totals],[FY79/80]]+ProjLEIP[[#Totals],[FY79/80]]</f>
        <v>0</v>
      </c>
    </row>
    <row r="13" spans="2:59" ht="15" thickBot="1" x14ac:dyDescent="0.35">
      <c r="B13" s="28" t="s">
        <v>275</v>
      </c>
      <c r="C13" s="12" t="s">
        <v>172</v>
      </c>
      <c r="D13" s="23">
        <f>D11+D10</f>
        <v>0</v>
      </c>
      <c r="E13" s="23">
        <f t="shared" ref="E13:BG13" si="0">E11+E10</f>
        <v>0</v>
      </c>
      <c r="F13" s="23">
        <f t="shared" si="0"/>
        <v>0</v>
      </c>
      <c r="G13" s="23">
        <f t="shared" si="0"/>
        <v>0</v>
      </c>
      <c r="H13" s="23">
        <f t="shared" si="0"/>
        <v>0</v>
      </c>
      <c r="I13" s="23">
        <f t="shared" si="0"/>
        <v>0</v>
      </c>
      <c r="J13" s="23">
        <f t="shared" si="0"/>
        <v>0</v>
      </c>
      <c r="K13" s="23">
        <f t="shared" si="0"/>
        <v>0</v>
      </c>
      <c r="L13" s="23">
        <f t="shared" si="0"/>
        <v>0</v>
      </c>
      <c r="M13" s="23">
        <f t="shared" si="0"/>
        <v>0</v>
      </c>
      <c r="N13" s="23">
        <f t="shared" si="0"/>
        <v>0</v>
      </c>
      <c r="O13" s="23">
        <f t="shared" si="0"/>
        <v>0</v>
      </c>
      <c r="P13" s="23">
        <f t="shared" si="0"/>
        <v>0</v>
      </c>
      <c r="Q13" s="23">
        <f t="shared" si="0"/>
        <v>0</v>
      </c>
      <c r="R13" s="23">
        <f t="shared" si="0"/>
        <v>0</v>
      </c>
      <c r="S13" s="23">
        <f t="shared" si="0"/>
        <v>0</v>
      </c>
      <c r="T13" s="23">
        <f t="shared" si="0"/>
        <v>0</v>
      </c>
      <c r="U13" s="23">
        <f t="shared" si="0"/>
        <v>0</v>
      </c>
      <c r="V13" s="23">
        <f t="shared" si="0"/>
        <v>0</v>
      </c>
      <c r="W13" s="23">
        <f t="shared" si="0"/>
        <v>0</v>
      </c>
      <c r="X13" s="23">
        <f t="shared" si="0"/>
        <v>0</v>
      </c>
      <c r="Y13" s="23">
        <f t="shared" si="0"/>
        <v>0</v>
      </c>
      <c r="Z13" s="23">
        <f t="shared" si="0"/>
        <v>0</v>
      </c>
      <c r="AA13" s="23">
        <f t="shared" si="0"/>
        <v>0</v>
      </c>
      <c r="AB13" s="23">
        <f t="shared" si="0"/>
        <v>0</v>
      </c>
      <c r="AC13" s="23">
        <f t="shared" si="0"/>
        <v>0</v>
      </c>
      <c r="AD13" s="23">
        <f t="shared" si="0"/>
        <v>0</v>
      </c>
      <c r="AE13" s="23">
        <f t="shared" si="0"/>
        <v>0</v>
      </c>
      <c r="AF13" s="23">
        <f t="shared" si="0"/>
        <v>0</v>
      </c>
      <c r="AG13" s="23">
        <f t="shared" si="0"/>
        <v>0</v>
      </c>
      <c r="AH13" s="23">
        <f t="shared" si="0"/>
        <v>0</v>
      </c>
      <c r="AI13" s="23">
        <f t="shared" si="0"/>
        <v>0</v>
      </c>
      <c r="AJ13" s="23">
        <f t="shared" si="0"/>
        <v>0</v>
      </c>
      <c r="AK13" s="23">
        <f t="shared" si="0"/>
        <v>0</v>
      </c>
      <c r="AL13" s="23">
        <f t="shared" si="0"/>
        <v>0</v>
      </c>
      <c r="AM13" s="23">
        <f t="shared" si="0"/>
        <v>0</v>
      </c>
      <c r="AN13" s="23">
        <f t="shared" si="0"/>
        <v>0</v>
      </c>
      <c r="AO13" s="23">
        <f t="shared" si="0"/>
        <v>0</v>
      </c>
      <c r="AP13" s="23">
        <f t="shared" si="0"/>
        <v>0</v>
      </c>
      <c r="AQ13" s="23">
        <f t="shared" si="0"/>
        <v>0</v>
      </c>
      <c r="AR13" s="23">
        <f t="shared" si="0"/>
        <v>0</v>
      </c>
      <c r="AS13" s="23">
        <f t="shared" si="0"/>
        <v>0</v>
      </c>
      <c r="AT13" s="23">
        <f t="shared" si="0"/>
        <v>0</v>
      </c>
      <c r="AU13" s="23">
        <f t="shared" si="0"/>
        <v>0</v>
      </c>
      <c r="AV13" s="23">
        <f t="shared" si="0"/>
        <v>0</v>
      </c>
      <c r="AW13" s="23">
        <f t="shared" si="0"/>
        <v>0</v>
      </c>
      <c r="AX13" s="23">
        <f t="shared" si="0"/>
        <v>0</v>
      </c>
      <c r="AY13" s="23">
        <f t="shared" si="0"/>
        <v>0</v>
      </c>
      <c r="AZ13" s="23">
        <f t="shared" si="0"/>
        <v>0</v>
      </c>
      <c r="BA13" s="23">
        <f t="shared" si="0"/>
        <v>0</v>
      </c>
      <c r="BB13" s="23">
        <f t="shared" si="0"/>
        <v>0</v>
      </c>
      <c r="BC13" s="23">
        <f t="shared" si="0"/>
        <v>0</v>
      </c>
      <c r="BD13" s="23">
        <f t="shared" si="0"/>
        <v>0</v>
      </c>
      <c r="BE13" s="23">
        <f t="shared" si="0"/>
        <v>0</v>
      </c>
      <c r="BF13" s="23">
        <f t="shared" si="0"/>
        <v>0</v>
      </c>
      <c r="BG13" s="29">
        <f t="shared" si="0"/>
        <v>0</v>
      </c>
    </row>
    <row r="14" spans="2:59" s="3" customFormat="1" x14ac:dyDescent="0.3">
      <c r="B14" s="30" t="s">
        <v>276</v>
      </c>
      <c r="C14" s="11"/>
      <c r="D14" s="11"/>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31"/>
    </row>
    <row r="15" spans="2:59" s="3" customFormat="1" x14ac:dyDescent="0.3">
      <c r="B15" s="26" t="s">
        <v>277</v>
      </c>
      <c r="C15" s="7" t="s">
        <v>172</v>
      </c>
      <c r="D15" s="16">
        <f>IF(AND(--RIGHT(D$9,2)&gt;=(--RIGHT(Emissions!$E$10,2)),--RIGHT(D$9,2)&lt;(--RIGHT(Emissions!$E$10,2)+Emissions!$E$11)),ProjAbate[[#Totals],[FY24/25]]*Parameters!E$34,0)</f>
        <v>0</v>
      </c>
      <c r="E15" s="16">
        <f>IF(AND(--RIGHT(E$9,2)&gt;=(--RIGHT(Emissions!$E$10,2)),--RIGHT(E$9,2)&lt;(--RIGHT(Emissions!$E$10,2)+Emissions!$E$11)),ProjAbate[[#Totals],[FY25/26]]*Parameters!F$34,0)</f>
        <v>0</v>
      </c>
      <c r="F15" s="16">
        <f>IF(AND(--RIGHT(F$9,2)&gt;=(--RIGHT(Emissions!$E$10,2)),--RIGHT(F$9,2)&lt;(--RIGHT(Emissions!$E$10,2)+Emissions!$E$11)),ProjAbate[[#Totals],[FY26/27]]*Parameters!G$34,0)</f>
        <v>0</v>
      </c>
      <c r="G15" s="16">
        <f>IF(AND(--RIGHT(G$9,2)&gt;=(--RIGHT(Emissions!$E$10,2)),--RIGHT(G$9,2)&lt;(--RIGHT(Emissions!$E$10,2)+Emissions!$E$11)),ProjAbate[[#Totals],[FY27/28]]*Parameters!H$34,0)</f>
        <v>0</v>
      </c>
      <c r="H15" s="16">
        <f>IF(AND(--RIGHT(H$9,2)&gt;=(--RIGHT(Emissions!$E$10,2)),--RIGHT(H$9,2)&lt;(--RIGHT(Emissions!$E$10,2)+Emissions!$E$11)),ProjAbate[[#Totals],[FY28/29]]*Parameters!I$34,0)</f>
        <v>0</v>
      </c>
      <c r="I15" s="16">
        <f>IF(AND(--RIGHT(I$9,2)&gt;=(--RIGHT(Emissions!$E$10,2)),--RIGHT(I$9,2)&lt;(--RIGHT(Emissions!$E$10,2)+Emissions!$E$11)),ProjAbate[[#Totals],[FY29/30]]*Parameters!J$34,0)</f>
        <v>0</v>
      </c>
      <c r="J15" s="16">
        <f>IF(AND(--RIGHT(J$9,2)&gt;=(--RIGHT(Emissions!$E$10,2)),--RIGHT(J$9,2)&lt;(--RIGHT(Emissions!$E$10,2)+Emissions!$E$11)),ProjAbate[[#Totals],[FY30/31]]*Parameters!K$34,0)</f>
        <v>0</v>
      </c>
      <c r="K15" s="16">
        <f>IF(AND(--RIGHT(K$9,2)&gt;=(--RIGHT(Emissions!$E$10,2)),--RIGHT(K$9,2)&lt;(--RIGHT(Emissions!$E$10,2)+Emissions!$E$11)),ProjAbate[[#Totals],[FY31/32]]*Parameters!L$34,0)</f>
        <v>0</v>
      </c>
      <c r="L15" s="16">
        <f>IF(AND(--RIGHT(L$9,2)&gt;=(--RIGHT(Emissions!$E$10,2)),--RIGHT(L$9,2)&lt;(--RIGHT(Emissions!$E$10,2)+Emissions!$E$11)),ProjAbate[[#Totals],[FY32/33]]*Parameters!M$34,0)</f>
        <v>0</v>
      </c>
      <c r="M15" s="16">
        <f>IF(AND(--RIGHT(M$9,2)&gt;=(--RIGHT(Emissions!$E$10,2)),--RIGHT(M$9,2)&lt;(--RIGHT(Emissions!$E$10,2)+Emissions!$E$11)),ProjAbate[[#Totals],[FY33/34]]*Parameters!N$34,0)</f>
        <v>0</v>
      </c>
      <c r="N15" s="16">
        <f>IF(AND(--RIGHT(N$9,2)&gt;=(--RIGHT(Emissions!$E$10,2)),--RIGHT(N$9,2)&lt;(--RIGHT(Emissions!$E$10,2)+Emissions!$E$11)),ProjAbate[[#Totals],[FY34/35]]*Parameters!O$34,0)</f>
        <v>0</v>
      </c>
      <c r="O15" s="16">
        <f>IF(AND(--RIGHT(O$9,2)&gt;=(--RIGHT(Emissions!$E$10,2)),--RIGHT(O$9,2)&lt;(--RIGHT(Emissions!$E$10,2)+Emissions!$E$11)),ProjAbate[[#Totals],[FY35/36]]*Parameters!P$34,0)</f>
        <v>0</v>
      </c>
      <c r="P15" s="16">
        <f>IF(AND(--RIGHT(P$9,2)&gt;=(--RIGHT(Emissions!$E$10,2)),--RIGHT(P$9,2)&lt;(--RIGHT(Emissions!$E$10,2)+Emissions!$E$11)),ProjAbate[[#Totals],[FY36/37]]*Parameters!Q$34,0)</f>
        <v>0</v>
      </c>
      <c r="Q15" s="16">
        <f>IF(AND(--RIGHT(Q$9,2)&gt;=(--RIGHT(Emissions!$E$10,2)),--RIGHT(Q$9,2)&lt;(--RIGHT(Emissions!$E$10,2)+Emissions!$E$11)),ProjAbate[[#Totals],[FY37/38]]*Parameters!R$34,0)</f>
        <v>0</v>
      </c>
      <c r="R15" s="16">
        <f>IF(AND(--RIGHT(R$9,2)&gt;=(--RIGHT(Emissions!$E$10,2)),--RIGHT(R$9,2)&lt;(--RIGHT(Emissions!$E$10,2)+Emissions!$E$11)),ProjAbate[[#Totals],[FY38/39]]*Parameters!S$34,0)</f>
        <v>0</v>
      </c>
      <c r="S15" s="16">
        <f>IF(AND(--RIGHT(S$9,2)&gt;=(--RIGHT(Emissions!$E$10,2)),--RIGHT(S$9,2)&lt;(--RIGHT(Emissions!$E$10,2)+Emissions!$E$11)),ProjAbate[[#Totals],[FY39/40]]*Parameters!T$34,0)</f>
        <v>0</v>
      </c>
      <c r="T15" s="16">
        <f>IF(AND(--RIGHT(T$9,2)&gt;=(--RIGHT(Emissions!$E$10,2)),--RIGHT(T$9,2)&lt;(--RIGHT(Emissions!$E$10,2)+Emissions!$E$11)),ProjAbate[[#Totals],[FY40/41]]*Parameters!U$34,0)</f>
        <v>0</v>
      </c>
      <c r="U15" s="16">
        <f>IF(AND(--RIGHT(U$9,2)&gt;=(--RIGHT(Emissions!$E$10,2)),--RIGHT(U$9,2)&lt;(--RIGHT(Emissions!$E$10,2)+Emissions!$E$11)),ProjAbate[[#Totals],[FY41/42]]*Parameters!V$34,0)</f>
        <v>0</v>
      </c>
      <c r="V15" s="16">
        <f>IF(AND(--RIGHT(V$9,2)&gt;=(--RIGHT(Emissions!$E$10,2)),--RIGHT(V$9,2)&lt;(--RIGHT(Emissions!$E$10,2)+Emissions!$E$11)),ProjAbate[[#Totals],[FY42/43]]*Parameters!W$34,0)</f>
        <v>0</v>
      </c>
      <c r="W15" s="16">
        <f>IF(AND(--RIGHT(W$9,2)&gt;=(--RIGHT(Emissions!$E$10,2)),--RIGHT(W$9,2)&lt;(--RIGHT(Emissions!$E$10,2)+Emissions!$E$11)),ProjAbate[[#Totals],[FY43/44]]*Parameters!X$34,0)</f>
        <v>0</v>
      </c>
      <c r="X15" s="16">
        <f>IF(AND(--RIGHT(X$9,2)&gt;=(--RIGHT(Emissions!$E$10,2)),--RIGHT(X$9,2)&lt;(--RIGHT(Emissions!$E$10,2)+Emissions!$E$11)),ProjAbate[[#Totals],[FY44/45]]*Parameters!Y$34,0)</f>
        <v>0</v>
      </c>
      <c r="Y15" s="16">
        <f>IF(AND(--RIGHT(Y$9,2)&gt;=(--RIGHT(Emissions!$E$10,2)),--RIGHT(Y$9,2)&lt;(--RIGHT(Emissions!$E$10,2)+Emissions!$E$11)),ProjAbate[[#Totals],[FY45/46]]*Parameters!Z$34,0)</f>
        <v>0</v>
      </c>
      <c r="Z15" s="16">
        <f>IF(AND(--RIGHT(Z$9,2)&gt;=(--RIGHT(Emissions!$E$10,2)),--RIGHT(Z$9,2)&lt;(--RIGHT(Emissions!$E$10,2)+Emissions!$E$11)),ProjAbate[[#Totals],[FY46/47]]*Parameters!AA$34,0)</f>
        <v>0</v>
      </c>
      <c r="AA15" s="16">
        <f>IF(AND(--RIGHT(AA$9,2)&gt;=(--RIGHT(Emissions!$E$10,2)),--RIGHT(AA$9,2)&lt;(--RIGHT(Emissions!$E$10,2)+Emissions!$E$11)),ProjAbate[[#Totals],[FY47/48]]*Parameters!AB$34,0)</f>
        <v>0</v>
      </c>
      <c r="AB15" s="16">
        <f>IF(AND(--RIGHT(AB$9,2)&gt;=(--RIGHT(Emissions!$E$10,2)),--RIGHT(AB$9,2)&lt;(--RIGHT(Emissions!$E$10,2)+Emissions!$E$11)),ProjAbate[[#Totals],[FY48/49]]*Parameters!AC$34,0)</f>
        <v>0</v>
      </c>
      <c r="AC15" s="16">
        <f>IF(AND(--RIGHT(AC$9,2)&gt;=(--RIGHT(Emissions!$E$10,2)),--RIGHT(AC$9,2)&lt;(--RIGHT(Emissions!$E$10,2)+Emissions!$E$11)),ProjAbate[[#Totals],[FY49/50]]*Parameters!AD$34,0)</f>
        <v>0</v>
      </c>
      <c r="AD15" s="16">
        <f>IF(AND(--RIGHT(AD$9,2)&gt;=(--RIGHT(Emissions!$E$10,2)),--RIGHT(AD$9,2)&lt;(--RIGHT(Emissions!$E$10,2)+Emissions!$E$11)),ProjAbate[[#Totals],[FY50/51]]*Parameters!AE$34,0)</f>
        <v>0</v>
      </c>
      <c r="AE15" s="16">
        <f>IF(AND(--RIGHT(AE$9,2)&gt;=(--RIGHT(Emissions!$E$10,2)),--RIGHT(AE$9,2)&lt;(--RIGHT(Emissions!$E$10,2)+Emissions!$E$11)),ProjAbate[[#Totals],[FY51/52]]*Parameters!AF$34,0)</f>
        <v>0</v>
      </c>
      <c r="AF15" s="16">
        <f>IF(AND(--RIGHT(AF$9,2)&gt;=(--RIGHT(Emissions!$E$10,2)),--RIGHT(AF$9,2)&lt;(--RIGHT(Emissions!$E$10,2)+Emissions!$E$11)),ProjAbate[[#Totals],[FY52/53]]*Parameters!AG$34,0)</f>
        <v>0</v>
      </c>
      <c r="AG15" s="16">
        <f>IF(AND(--RIGHT(AG$9,2)&gt;=(--RIGHT(Emissions!$E$10,2)),--RIGHT(AG$9,2)&lt;(--RIGHT(Emissions!$E$10,2)+Emissions!$E$11)),ProjAbate[[#Totals],[FY53/54]]*Parameters!AH$34,0)</f>
        <v>0</v>
      </c>
      <c r="AH15" s="16">
        <f>IF(AND(--RIGHT(AH$9,2)&gt;=(--RIGHT(Emissions!$E$10,2)),--RIGHT(AH$9,2)&lt;(--RIGHT(Emissions!$E$10,2)+Emissions!$E$11)),ProjAbate[[#Totals],[FY54/55]]*Parameters!AI$34,0)</f>
        <v>0</v>
      </c>
      <c r="AI15" s="16">
        <f>IF(AND(--RIGHT(AI$9,2)&gt;=(--RIGHT(Emissions!$E$10,2)),--RIGHT(AI$9,2)&lt;(--RIGHT(Emissions!$E$10,2)+Emissions!$E$11)),ProjAbate[[#Totals],[FY55/56]]*Parameters!AJ$34,0)</f>
        <v>0</v>
      </c>
      <c r="AJ15" s="16">
        <f>IF(AND(--RIGHT(AJ$9,2)&gt;=(--RIGHT(Emissions!$E$10,2)),--RIGHT(AJ$9,2)&lt;(--RIGHT(Emissions!$E$10,2)+Emissions!$E$11)),ProjAbate[[#Totals],[FY56/57]]*Parameters!AK$34,0)</f>
        <v>0</v>
      </c>
      <c r="AK15" s="16">
        <f>IF(AND(--RIGHT(AK$9,2)&gt;=(--RIGHT(Emissions!$E$10,2)),--RIGHT(AK$9,2)&lt;(--RIGHT(Emissions!$E$10,2)+Emissions!$E$11)),ProjAbate[[#Totals],[FY57/58]]*Parameters!AL$34,0)</f>
        <v>0</v>
      </c>
      <c r="AL15" s="16">
        <f>IF(AND(--RIGHT(AL$9,2)&gt;=(--RIGHT(Emissions!$E$10,2)),--RIGHT(AL$9,2)&lt;(--RIGHT(Emissions!$E$10,2)+Emissions!$E$11)),ProjAbate[[#Totals],[FY58/59]]*Parameters!AM$34,0)</f>
        <v>0</v>
      </c>
      <c r="AM15" s="16">
        <f>IF(AND(--RIGHT(AM$9,2)&gt;=(--RIGHT(Emissions!$E$10,2)),--RIGHT(AM$9,2)&lt;(--RIGHT(Emissions!$E$10,2)+Emissions!$E$11)),ProjAbate[[#Totals],[FY59/60]]*Parameters!AN$34,0)</f>
        <v>0</v>
      </c>
      <c r="AN15" s="16">
        <f>IF(AND(--RIGHT(AN$9,2)&gt;=(--RIGHT(Emissions!$E$10,2)),--RIGHT(AN$9,2)&lt;(--RIGHT(Emissions!$E$10,2)+Emissions!$E$11)),ProjAbate[[#Totals],[FY60/61]]*Parameters!AO$34,0)</f>
        <v>0</v>
      </c>
      <c r="AO15" s="16">
        <f>IF(AND(--RIGHT(AO$9,2)&gt;=(--RIGHT(Emissions!$E$10,2)),--RIGHT(AO$9,2)&lt;(--RIGHT(Emissions!$E$10,2)+Emissions!$E$11)),ProjAbate[[#Totals],[FY61/62]]*Parameters!AP$34,0)</f>
        <v>0</v>
      </c>
      <c r="AP15" s="16">
        <f>IF(AND(--RIGHT(AP$9,2)&gt;=(--RIGHT(Emissions!$E$10,2)),--RIGHT(AP$9,2)&lt;(--RIGHT(Emissions!$E$10,2)+Emissions!$E$11)),ProjAbate[[#Totals],[FY62/63]]*Parameters!AQ$34,0)</f>
        <v>0</v>
      </c>
      <c r="AQ15" s="16">
        <f>IF(AND(--RIGHT(AQ$9,2)&gt;=(--RIGHT(Emissions!$E$10,2)),--RIGHT(AQ$9,2)&lt;(--RIGHT(Emissions!$E$10,2)+Emissions!$E$11)),ProjAbate[[#Totals],[FY63/64]]*Parameters!AR$34,0)</f>
        <v>0</v>
      </c>
      <c r="AR15" s="16">
        <f>IF(AND(--RIGHT(AR$9,2)&gt;=(--RIGHT(Emissions!$E$10,2)),--RIGHT(AR$9,2)&lt;(--RIGHT(Emissions!$E$10,2)+Emissions!$E$11)),ProjAbate[[#Totals],[FY64/65]]*Parameters!AS$34,0)</f>
        <v>0</v>
      </c>
      <c r="AS15" s="16">
        <f>IF(AND(--RIGHT(AS$9,2)&gt;=(--RIGHT(Emissions!$E$10,2)),--RIGHT(AS$9,2)&lt;(--RIGHT(Emissions!$E$10,2)+Emissions!$E$11)),ProjAbate[[#Totals],[FY65/66]]*Parameters!AT$34,0)</f>
        <v>0</v>
      </c>
      <c r="AT15" s="16">
        <f>IF(AND(--RIGHT(AT$9,2)&gt;=(--RIGHT(Emissions!$E$10,2)),--RIGHT(AT$9,2)&lt;(--RIGHT(Emissions!$E$10,2)+Emissions!$E$11)),ProjAbate[[#Totals],[FY66/67]]*Parameters!AU$34,0)</f>
        <v>0</v>
      </c>
      <c r="AU15" s="16">
        <f>IF(AND(--RIGHT(AU$9,2)&gt;=(--RIGHT(Emissions!$E$10,2)),--RIGHT(AU$9,2)&lt;(--RIGHT(Emissions!$E$10,2)+Emissions!$E$11)),ProjAbate[[#Totals],[FY67/68]]*Parameters!AV$34,0)</f>
        <v>0</v>
      </c>
      <c r="AV15" s="16">
        <f>IF(AND(--RIGHT(AV$9,2)&gt;=(--RIGHT(Emissions!$E$10,2)),--RIGHT(AV$9,2)&lt;(--RIGHT(Emissions!$E$10,2)+Emissions!$E$11)),ProjAbate[[#Totals],[FY68/69]]*Parameters!AW$34,0)</f>
        <v>0</v>
      </c>
      <c r="AW15" s="16">
        <f>IF(AND(--RIGHT(AW$9,2)&gt;=(--RIGHT(Emissions!$E$10,2)),--RIGHT(AW$9,2)&lt;(--RIGHT(Emissions!$E$10,2)+Emissions!$E$11)),ProjAbate[[#Totals],[FY69/70]]*Parameters!AX$34,0)</f>
        <v>0</v>
      </c>
      <c r="AX15" s="16">
        <f>IF(AND(--RIGHT(AX$9,2)&gt;=(--RIGHT(Emissions!$E$10,2)),--RIGHT(AX$9,2)&lt;(--RIGHT(Emissions!$E$10,2)+Emissions!$E$11)),ProjAbate[[#Totals],[FY70/71]]*Parameters!AY$34,0)</f>
        <v>0</v>
      </c>
      <c r="AY15" s="16">
        <f>IF(AND(--RIGHT(AY$9,2)&gt;=(--RIGHT(Emissions!$E$10,2)),--RIGHT(AY$9,2)&lt;(--RIGHT(Emissions!$E$10,2)+Emissions!$E$11)),ProjAbate[[#Totals],[FY71/72]]*Parameters!AZ$34,0)</f>
        <v>0</v>
      </c>
      <c r="AZ15" s="16">
        <f>IF(AND(--RIGHT(AZ$9,2)&gt;=(--RIGHT(Emissions!$E$10,2)),--RIGHT(AZ$9,2)&lt;(--RIGHT(Emissions!$E$10,2)+Emissions!$E$11)),ProjAbate[[#Totals],[FY72/73]]*Parameters!BA$34,0)</f>
        <v>0</v>
      </c>
      <c r="BA15" s="16">
        <f>IF(AND(--RIGHT(BA$9,2)&gt;=(--RIGHT(Emissions!$E$10,2)),--RIGHT(BA$9,2)&lt;(--RIGHT(Emissions!$E$10,2)+Emissions!$E$11)),ProjAbate[[#Totals],[FY73/74]]*Parameters!BB$34,0)</f>
        <v>0</v>
      </c>
      <c r="BB15" s="16">
        <f>IF(AND(--RIGHT(BB$9,2)&gt;=(--RIGHT(Emissions!$E$10,2)),--RIGHT(BB$9,2)&lt;(--RIGHT(Emissions!$E$10,2)+Emissions!$E$11)),ProjAbate[[#Totals],[FY74/75]]*Parameters!BC$34,0)</f>
        <v>0</v>
      </c>
      <c r="BC15" s="16">
        <f>IF(AND(--RIGHT(BC$9,2)&gt;=(--RIGHT(Emissions!$E$10,2)),--RIGHT(BC$9,2)&lt;(--RIGHT(Emissions!$E$10,2)+Emissions!$E$11)),ProjAbate[[#Totals],[FY75/76]]*Parameters!BD$34,0)</f>
        <v>0</v>
      </c>
      <c r="BD15" s="16">
        <f>IF(AND(--RIGHT(BD$9,2)&gt;=(--RIGHT(Emissions!$E$10,2)),--RIGHT(BD$9,2)&lt;(--RIGHT(Emissions!$E$10,2)+Emissions!$E$11)),ProjAbate[[#Totals],[FY76/77]]*Parameters!BE$34,0)</f>
        <v>0</v>
      </c>
      <c r="BE15" s="16">
        <f>IF(AND(--RIGHT(BE$9,2)&gt;=(--RIGHT(Emissions!$E$10,2)),--RIGHT(BE$9,2)&lt;(--RIGHT(Emissions!$E$10,2)+Emissions!$E$11)),ProjAbate[[#Totals],[FY77/78]]*Parameters!BF$34,0)</f>
        <v>0</v>
      </c>
      <c r="BF15" s="16">
        <f>IF(AND(--RIGHT(BF$9,2)&gt;=(--RIGHT(Emissions!$E$10,2)),--RIGHT(BF$9,2)&lt;(--RIGHT(Emissions!$E$10,2)+Emissions!$E$11)),ProjAbate[[#Totals],[FY78/79]]*Parameters!BG$34,0)</f>
        <v>0</v>
      </c>
      <c r="BG15" s="27">
        <f>IF(AND(--RIGHT(BG$9,2)&gt;=(--RIGHT(Emissions!$E$10,2)),--RIGHT(BG$9,2)&lt;(--RIGHT(Emissions!$E$10,2)+Emissions!$E$11)),ProjAbate[[#Totals],[FY79/80]]*Parameters!BH$34,0)</f>
        <v>0</v>
      </c>
    </row>
    <row r="16" spans="2:59" s="3" customFormat="1" x14ac:dyDescent="0.3">
      <c r="B16" s="26" t="s">
        <v>278</v>
      </c>
      <c r="C16" s="7" t="s">
        <v>172</v>
      </c>
      <c r="D16" s="16">
        <f>IF(AND(--RIGHT(D$9,2)&gt;=(--RIGHT(Emissions!$E$10,2)),--RIGHT(D$9,2)&lt;(--RIGHT(Emissions!$E$10,2)+Emissions!$E$11)),D$15-Finance!E$29,0)</f>
        <v>0</v>
      </c>
      <c r="E16" s="16">
        <f>IF(AND(--RIGHT(E$9,2)&gt;=(--RIGHT(Emissions!$E$10,2)),--RIGHT(E$9,2)&lt;(--RIGHT(Emissions!$E$10,2)+Emissions!$E$11)),E$15-Finance!F$29,0)</f>
        <v>0</v>
      </c>
      <c r="F16" s="16">
        <f>IF(AND(--RIGHT(F$9,2)&gt;=(--RIGHT(Emissions!$E$10,2)),--RIGHT(F$9,2)&lt;(--RIGHT(Emissions!$E$10,2)+Emissions!$E$11)),F$15-Finance!G$29,0)</f>
        <v>0</v>
      </c>
      <c r="G16" s="16">
        <f>IF(AND(--RIGHT(G$9,2)&gt;=(--RIGHT(Emissions!$E$10,2)),--RIGHT(G$9,2)&lt;(--RIGHT(Emissions!$E$10,2)+Emissions!$E$11)),G$15-Finance!H$29,0)</f>
        <v>0</v>
      </c>
      <c r="H16" s="16">
        <f>IF(AND(--RIGHT(H$9,2)&gt;=(--RIGHT(Emissions!$E$10,2)),--RIGHT(H$9,2)&lt;(--RIGHT(Emissions!$E$10,2)+Emissions!$E$11)),H$15-Finance!I$29,0)</f>
        <v>0</v>
      </c>
      <c r="I16" s="16">
        <f>IF(AND(--RIGHT(I$9,2)&gt;=(--RIGHT(Emissions!$E$10,2)),--RIGHT(I$9,2)&lt;(--RIGHT(Emissions!$E$10,2)+Emissions!$E$11)),I$15-Finance!J$29,0)</f>
        <v>0</v>
      </c>
      <c r="J16" s="16">
        <f>IF(AND(--RIGHT(J$9,2)&gt;=(--RIGHT(Emissions!$E$10,2)),--RIGHT(J$9,2)&lt;(--RIGHT(Emissions!$E$10,2)+Emissions!$E$11)),J$15-Finance!K$29,0)</f>
        <v>0</v>
      </c>
      <c r="K16" s="16">
        <f>IF(AND(--RIGHT(K$9,2)&gt;=(--RIGHT(Emissions!$E$10,2)),--RIGHT(K$9,2)&lt;(--RIGHT(Emissions!$E$10,2)+Emissions!$E$11)),K$15-Finance!L$29,0)</f>
        <v>0</v>
      </c>
      <c r="L16" s="16">
        <f>IF(AND(--RIGHT(L$9,2)&gt;=(--RIGHT(Emissions!$E$10,2)),--RIGHT(L$9,2)&lt;(--RIGHT(Emissions!$E$10,2)+Emissions!$E$11)),L$15-Finance!M$29,0)</f>
        <v>0</v>
      </c>
      <c r="M16" s="16">
        <f>IF(AND(--RIGHT(M$9,2)&gt;=(--RIGHT(Emissions!$E$10,2)),--RIGHT(M$9,2)&lt;(--RIGHT(Emissions!$E$10,2)+Emissions!$E$11)),M$15-Finance!N$29,0)</f>
        <v>0</v>
      </c>
      <c r="N16" s="16">
        <f>IF(AND(--RIGHT(N$9,2)&gt;=(--RIGHT(Emissions!$E$10,2)),--RIGHT(N$9,2)&lt;(--RIGHT(Emissions!$E$10,2)+Emissions!$E$11)),N$15-Finance!O$29,0)</f>
        <v>0</v>
      </c>
      <c r="O16" s="16">
        <f>IF(AND(--RIGHT(O$9,2)&gt;=(--RIGHT(Emissions!$E$10,2)),--RIGHT(O$9,2)&lt;(--RIGHT(Emissions!$E$10,2)+Emissions!$E$11)),O$15-Finance!P$29,0)</f>
        <v>0</v>
      </c>
      <c r="P16" s="16">
        <f>IF(AND(--RIGHT(P$9,2)&gt;=(--RIGHT(Emissions!$E$10,2)),--RIGHT(P$9,2)&lt;(--RIGHT(Emissions!$E$10,2)+Emissions!$E$11)),P$15-Finance!Q$29,0)</f>
        <v>0</v>
      </c>
      <c r="Q16" s="16">
        <f>IF(AND(--RIGHT(Q$9,2)&gt;=(--RIGHT(Emissions!$E$10,2)),--RIGHT(Q$9,2)&lt;(--RIGHT(Emissions!$E$10,2)+Emissions!$E$11)),Q$15-Finance!R$29,0)</f>
        <v>0</v>
      </c>
      <c r="R16" s="16">
        <f>IF(AND(--RIGHT(R$9,2)&gt;=(--RIGHT(Emissions!$E$10,2)),--RIGHT(R$9,2)&lt;(--RIGHT(Emissions!$E$10,2)+Emissions!$E$11)),R$15-Finance!S$29,0)</f>
        <v>0</v>
      </c>
      <c r="S16" s="16">
        <f>IF(AND(--RIGHT(S$9,2)&gt;=(--RIGHT(Emissions!$E$10,2)),--RIGHT(S$9,2)&lt;(--RIGHT(Emissions!$E$10,2)+Emissions!$E$11)),S$15-Finance!T$29,0)</f>
        <v>0</v>
      </c>
      <c r="T16" s="16">
        <f>IF(AND(--RIGHT(T$9,2)&gt;=(--RIGHT(Emissions!$E$10,2)),--RIGHT(T$9,2)&lt;(--RIGHT(Emissions!$E$10,2)+Emissions!$E$11)),T$15-Finance!U$29,0)</f>
        <v>0</v>
      </c>
      <c r="U16" s="16">
        <f>IF(AND(--RIGHT(U$9,2)&gt;=(--RIGHT(Emissions!$E$10,2)),--RIGHT(U$9,2)&lt;(--RIGHT(Emissions!$E$10,2)+Emissions!$E$11)),U$15-Finance!V$29,0)</f>
        <v>0</v>
      </c>
      <c r="V16" s="16">
        <f>IF(AND(--RIGHT(V$9,2)&gt;=(--RIGHT(Emissions!$E$10,2)),--RIGHT(V$9,2)&lt;(--RIGHT(Emissions!$E$10,2)+Emissions!$E$11)),V$15-Finance!W$29,0)</f>
        <v>0</v>
      </c>
      <c r="W16" s="16">
        <f>IF(AND(--RIGHT(W$9,2)&gt;=(--RIGHT(Emissions!$E$10,2)),--RIGHT(W$9,2)&lt;(--RIGHT(Emissions!$E$10,2)+Emissions!$E$11)),W$15-Finance!X$29,0)</f>
        <v>0</v>
      </c>
      <c r="X16" s="16">
        <f>IF(AND(--RIGHT(X$9,2)&gt;=(--RIGHT(Emissions!$E$10,2)),--RIGHT(X$9,2)&lt;(--RIGHT(Emissions!$E$10,2)+Emissions!$E$11)),X$15-Finance!Y$29,0)</f>
        <v>0</v>
      </c>
      <c r="Y16" s="16">
        <f>IF(AND(--RIGHT(Y$9,2)&gt;=(--RIGHT(Emissions!$E$10,2)),--RIGHT(Y$9,2)&lt;(--RIGHT(Emissions!$E$10,2)+Emissions!$E$11)),Y$15-Finance!Z$29,0)</f>
        <v>0</v>
      </c>
      <c r="Z16" s="16">
        <f>IF(AND(--RIGHT(Z$9,2)&gt;=(--RIGHT(Emissions!$E$10,2)),--RIGHT(Z$9,2)&lt;(--RIGHT(Emissions!$E$10,2)+Emissions!$E$11)),Z$15-Finance!AA$29,0)</f>
        <v>0</v>
      </c>
      <c r="AA16" s="16">
        <f>IF(AND(--RIGHT(AA$9,2)&gt;=(--RIGHT(Emissions!$E$10,2)),--RIGHT(AA$9,2)&lt;(--RIGHT(Emissions!$E$10,2)+Emissions!$E$11)),AA$15-Finance!AB$29,0)</f>
        <v>0</v>
      </c>
      <c r="AB16" s="16">
        <f>IF(AND(--RIGHT(AB$9,2)&gt;=(--RIGHT(Emissions!$E$10,2)),--RIGHT(AB$9,2)&lt;(--RIGHT(Emissions!$E$10,2)+Emissions!$E$11)),AB$15-Finance!AC$29,0)</f>
        <v>0</v>
      </c>
      <c r="AC16" s="16">
        <f>IF(AND(--RIGHT(AC$9,2)&gt;=(--RIGHT(Emissions!$E$10,2)),--RIGHT(AC$9,2)&lt;(--RIGHT(Emissions!$E$10,2)+Emissions!$E$11)),AC$15-Finance!AD$29,0)</f>
        <v>0</v>
      </c>
      <c r="AD16" s="16">
        <f>IF(AND(--RIGHT(AD$9,2)&gt;=(--RIGHT(Emissions!$E$10,2)),--RIGHT(AD$9,2)&lt;(--RIGHT(Emissions!$E$10,2)+Emissions!$E$11)),AD$15-Finance!AE$29,0)</f>
        <v>0</v>
      </c>
      <c r="AE16" s="16">
        <f>IF(AND(--RIGHT(AE$9,2)&gt;=(--RIGHT(Emissions!$E$10,2)),--RIGHT(AE$9,2)&lt;(--RIGHT(Emissions!$E$10,2)+Emissions!$E$11)),AE$15-Finance!AF$29,0)</f>
        <v>0</v>
      </c>
      <c r="AF16" s="16">
        <f>IF(AND(--RIGHT(AF$9,2)&gt;=(--RIGHT(Emissions!$E$10,2)),--RIGHT(AF$9,2)&lt;(--RIGHT(Emissions!$E$10,2)+Emissions!$E$11)),AF$15-Finance!AG$29,0)</f>
        <v>0</v>
      </c>
      <c r="AG16" s="16">
        <f>IF(AND(--RIGHT(AG$9,2)&gt;=(--RIGHT(Emissions!$E$10,2)),--RIGHT(AG$9,2)&lt;(--RIGHT(Emissions!$E$10,2)+Emissions!$E$11)),AG$15-Finance!AH$29,0)</f>
        <v>0</v>
      </c>
      <c r="AH16" s="16">
        <f>IF(AND(--RIGHT(AH$9,2)&gt;=(--RIGHT(Emissions!$E$10,2)),--RIGHT(AH$9,2)&lt;(--RIGHT(Emissions!$E$10,2)+Emissions!$E$11)),AH$15-Finance!AI$29,0)</f>
        <v>0</v>
      </c>
      <c r="AI16" s="16">
        <f>IF(AND(--RIGHT(AI$9,2)&gt;=(--RIGHT(Emissions!$E$10,2)),--RIGHT(AI$9,2)&lt;(--RIGHT(Emissions!$E$10,2)+Emissions!$E$11)),AI$15-Finance!AJ$29,0)</f>
        <v>0</v>
      </c>
      <c r="AJ16" s="16">
        <f>IF(AND(--RIGHT(AJ$9,2)&gt;=(--RIGHT(Emissions!$E$10,2)),--RIGHT(AJ$9,2)&lt;(--RIGHT(Emissions!$E$10,2)+Emissions!$E$11)),AJ$15-Finance!AK$29,0)</f>
        <v>0</v>
      </c>
      <c r="AK16" s="16">
        <f>IF(AND(--RIGHT(AK$9,2)&gt;=(--RIGHT(Emissions!$E$10,2)),--RIGHT(AK$9,2)&lt;(--RIGHT(Emissions!$E$10,2)+Emissions!$E$11)),AK$15-Finance!AL$29,0)</f>
        <v>0</v>
      </c>
      <c r="AL16" s="16">
        <f>IF(AND(--RIGHT(AL$9,2)&gt;=(--RIGHT(Emissions!$E$10,2)),--RIGHT(AL$9,2)&lt;(--RIGHT(Emissions!$E$10,2)+Emissions!$E$11)),AL$15-Finance!AM$29,0)</f>
        <v>0</v>
      </c>
      <c r="AM16" s="16">
        <f>IF(AND(--RIGHT(AM$9,2)&gt;=(--RIGHT(Emissions!$E$10,2)),--RIGHT(AM$9,2)&lt;(--RIGHT(Emissions!$E$10,2)+Emissions!$E$11)),AM$15-Finance!AN$29,0)</f>
        <v>0</v>
      </c>
      <c r="AN16" s="16">
        <f>IF(AND(--RIGHT(AN$9,2)&gt;=(--RIGHT(Emissions!$E$10,2)),--RIGHT(AN$9,2)&lt;(--RIGHT(Emissions!$E$10,2)+Emissions!$E$11)),AN$15-Finance!AO$29,0)</f>
        <v>0</v>
      </c>
      <c r="AO16" s="16">
        <f>IF(AND(--RIGHT(AO$9,2)&gt;=(--RIGHT(Emissions!$E$10,2)),--RIGHT(AO$9,2)&lt;(--RIGHT(Emissions!$E$10,2)+Emissions!$E$11)),AO$15-Finance!AP$29,0)</f>
        <v>0</v>
      </c>
      <c r="AP16" s="16">
        <f>IF(AND(--RIGHT(AP$9,2)&gt;=(--RIGHT(Emissions!$E$10,2)),--RIGHT(AP$9,2)&lt;(--RIGHT(Emissions!$E$10,2)+Emissions!$E$11)),AP$15-Finance!AQ$29,0)</f>
        <v>0</v>
      </c>
      <c r="AQ16" s="16">
        <f>IF(AND(--RIGHT(AQ$9,2)&gt;=(--RIGHT(Emissions!$E$10,2)),--RIGHT(AQ$9,2)&lt;(--RIGHT(Emissions!$E$10,2)+Emissions!$E$11)),AQ$15-Finance!AR$29,0)</f>
        <v>0</v>
      </c>
      <c r="AR16" s="16">
        <f>IF(AND(--RIGHT(AR$9,2)&gt;=(--RIGHT(Emissions!$E$10,2)),--RIGHT(AR$9,2)&lt;(--RIGHT(Emissions!$E$10,2)+Emissions!$E$11)),AR$15-Finance!AS$29,0)</f>
        <v>0</v>
      </c>
      <c r="AS16" s="16">
        <f>IF(AND(--RIGHT(AS$9,2)&gt;=(--RIGHT(Emissions!$E$10,2)),--RIGHT(AS$9,2)&lt;(--RIGHT(Emissions!$E$10,2)+Emissions!$E$11)),AS$15-Finance!AT$29,0)</f>
        <v>0</v>
      </c>
      <c r="AT16" s="16">
        <f>IF(AND(--RIGHT(AT$9,2)&gt;=(--RIGHT(Emissions!$E$10,2)),--RIGHT(AT$9,2)&lt;(--RIGHT(Emissions!$E$10,2)+Emissions!$E$11)),AT$15-Finance!AU$29,0)</f>
        <v>0</v>
      </c>
      <c r="AU16" s="16">
        <f>IF(AND(--RIGHT(AU$9,2)&gt;=(--RIGHT(Emissions!$E$10,2)),--RIGHT(AU$9,2)&lt;(--RIGHT(Emissions!$E$10,2)+Emissions!$E$11)),AU$15-Finance!AV$29,0)</f>
        <v>0</v>
      </c>
      <c r="AV16" s="16">
        <f>IF(AND(--RIGHT(AV$9,2)&gt;=(--RIGHT(Emissions!$E$10,2)),--RIGHT(AV$9,2)&lt;(--RIGHT(Emissions!$E$10,2)+Emissions!$E$11)),AV$15-Finance!AW$29,0)</f>
        <v>0</v>
      </c>
      <c r="AW16" s="16">
        <f>IF(AND(--RIGHT(AW$9,2)&gt;=(--RIGHT(Emissions!$E$10,2)),--RIGHT(AW$9,2)&lt;(--RIGHT(Emissions!$E$10,2)+Emissions!$E$11)),AW$15-Finance!AX$29,0)</f>
        <v>0</v>
      </c>
      <c r="AX16" s="16">
        <f>IF(AND(--RIGHT(AX$9,2)&gt;=(--RIGHT(Emissions!$E$10,2)),--RIGHT(AX$9,2)&lt;(--RIGHT(Emissions!$E$10,2)+Emissions!$E$11)),AX$15-Finance!AY$29,0)</f>
        <v>0</v>
      </c>
      <c r="AY16" s="16">
        <f>IF(AND(--RIGHT(AY$9,2)&gt;=(--RIGHT(Emissions!$E$10,2)),--RIGHT(AY$9,2)&lt;(--RIGHT(Emissions!$E$10,2)+Emissions!$E$11)),AY$15-Finance!AZ$29,0)</f>
        <v>0</v>
      </c>
      <c r="AZ16" s="16">
        <f>IF(AND(--RIGHT(AZ$9,2)&gt;=(--RIGHT(Emissions!$E$10,2)),--RIGHT(AZ$9,2)&lt;(--RIGHT(Emissions!$E$10,2)+Emissions!$E$11)),AZ$15-Finance!BA$29,0)</f>
        <v>0</v>
      </c>
      <c r="BA16" s="16">
        <f>IF(AND(--RIGHT(BA$9,2)&gt;=(--RIGHT(Emissions!$E$10,2)),--RIGHT(BA$9,2)&lt;(--RIGHT(Emissions!$E$10,2)+Emissions!$E$11)),BA$15-Finance!BB$29,0)</f>
        <v>0</v>
      </c>
      <c r="BB16" s="16">
        <f>IF(AND(--RIGHT(BB$9,2)&gt;=(--RIGHT(Emissions!$E$10,2)),--RIGHT(BB$9,2)&lt;(--RIGHT(Emissions!$E$10,2)+Emissions!$E$11)),BB$15-Finance!BC$29,0)</f>
        <v>0</v>
      </c>
      <c r="BC16" s="16">
        <f>IF(AND(--RIGHT(BC$9,2)&gt;=(--RIGHT(Emissions!$E$10,2)),--RIGHT(BC$9,2)&lt;(--RIGHT(Emissions!$E$10,2)+Emissions!$E$11)),BC$15-Finance!BD$29,0)</f>
        <v>0</v>
      </c>
      <c r="BD16" s="16">
        <f>IF(AND(--RIGHT(BD$9,2)&gt;=(--RIGHT(Emissions!$E$10,2)),--RIGHT(BD$9,2)&lt;(--RIGHT(Emissions!$E$10,2)+Emissions!$E$11)),BD$15-Finance!BE$29,0)</f>
        <v>0</v>
      </c>
      <c r="BE16" s="16">
        <f>IF(AND(--RIGHT(BE$9,2)&gt;=(--RIGHT(Emissions!$E$10,2)),--RIGHT(BE$9,2)&lt;(--RIGHT(Emissions!$E$10,2)+Emissions!$E$11)),BE$15-Finance!BF$29,0)</f>
        <v>0</v>
      </c>
      <c r="BF16" s="16">
        <f>IF(AND(--RIGHT(BF$9,2)&gt;=(--RIGHT(Emissions!$E$10,2)),--RIGHT(BF$9,2)&lt;(--RIGHT(Emissions!$E$10,2)+Emissions!$E$11)),BF$15-Finance!BG$29,0)</f>
        <v>0</v>
      </c>
      <c r="BG16" s="27">
        <f>IF(AND(--RIGHT(BG$9,2)&gt;=(--RIGHT(Emissions!$E$10,2)),--RIGHT(BG$9,2)&lt;(--RIGHT(Emissions!$E$10,2)+Emissions!$E$11)),BG$15-Finance!BH$29,0)</f>
        <v>0</v>
      </c>
    </row>
    <row r="17" spans="2:59" s="3" customFormat="1" ht="15" thickBot="1" x14ac:dyDescent="0.35">
      <c r="B17" s="28" t="s">
        <v>279</v>
      </c>
      <c r="C17" s="12" t="s">
        <v>172</v>
      </c>
      <c r="D17" s="17">
        <f>SUM($D$16:D$16)</f>
        <v>0</v>
      </c>
      <c r="E17" s="17">
        <f>SUM($D$16:E$16)</f>
        <v>0</v>
      </c>
      <c r="F17" s="17">
        <f>SUM($D$16:F$16)</f>
        <v>0</v>
      </c>
      <c r="G17" s="17">
        <f>SUM($D$16:G$16)</f>
        <v>0</v>
      </c>
      <c r="H17" s="17">
        <f>SUM($D$16:H$16)</f>
        <v>0</v>
      </c>
      <c r="I17" s="17">
        <f>SUM($D$16:I$16)</f>
        <v>0</v>
      </c>
      <c r="J17" s="17">
        <f>SUM($D$16:J$16)</f>
        <v>0</v>
      </c>
      <c r="K17" s="17">
        <f>SUM($D$16:K$16)</f>
        <v>0</v>
      </c>
      <c r="L17" s="17">
        <f>SUM($D$16:L$16)</f>
        <v>0</v>
      </c>
      <c r="M17" s="17">
        <f>SUM($D$16:M$16)</f>
        <v>0</v>
      </c>
      <c r="N17" s="17">
        <f>SUM($D$16:N$16)</f>
        <v>0</v>
      </c>
      <c r="O17" s="17">
        <f>SUM($D$16:O$16)</f>
        <v>0</v>
      </c>
      <c r="P17" s="17">
        <f>SUM($D$16:P$16)</f>
        <v>0</v>
      </c>
      <c r="Q17" s="17">
        <f>SUM($D$16:Q$16)</f>
        <v>0</v>
      </c>
      <c r="R17" s="17">
        <f>SUM($D$16:R$16)</f>
        <v>0</v>
      </c>
      <c r="S17" s="17">
        <f>SUM($D$16:S$16)</f>
        <v>0</v>
      </c>
      <c r="T17" s="17">
        <f>SUM($D$16:T$16)</f>
        <v>0</v>
      </c>
      <c r="U17" s="17">
        <f>SUM($D$16:U$16)</f>
        <v>0</v>
      </c>
      <c r="V17" s="17">
        <f>SUM($D$16:V$16)</f>
        <v>0</v>
      </c>
      <c r="W17" s="17">
        <f>SUM($D$16:W$16)</f>
        <v>0</v>
      </c>
      <c r="X17" s="17">
        <f>SUM($D$16:X$16)</f>
        <v>0</v>
      </c>
      <c r="Y17" s="17">
        <f>SUM($D$16:Y$16)</f>
        <v>0</v>
      </c>
      <c r="Z17" s="17">
        <f>SUM($D$16:Z$16)</f>
        <v>0</v>
      </c>
      <c r="AA17" s="17">
        <f>SUM($D$16:AA$16)</f>
        <v>0</v>
      </c>
      <c r="AB17" s="17">
        <f>SUM($D$16:AB$16)</f>
        <v>0</v>
      </c>
      <c r="AC17" s="17">
        <f>SUM($D$16:AC$16)</f>
        <v>0</v>
      </c>
      <c r="AD17" s="17">
        <f>SUM($D$16:AD$16)</f>
        <v>0</v>
      </c>
      <c r="AE17" s="17">
        <f>SUM($D$16:AE$16)</f>
        <v>0</v>
      </c>
      <c r="AF17" s="17">
        <f>SUM($D$16:AF$16)</f>
        <v>0</v>
      </c>
      <c r="AG17" s="17">
        <f>SUM($D$16:AG$16)</f>
        <v>0</v>
      </c>
      <c r="AH17" s="17">
        <f>SUM($D$16:AH$16)</f>
        <v>0</v>
      </c>
      <c r="AI17" s="17">
        <f>SUM($D$16:AI$16)</f>
        <v>0</v>
      </c>
      <c r="AJ17" s="17">
        <f>SUM($D$16:AJ$16)</f>
        <v>0</v>
      </c>
      <c r="AK17" s="17">
        <f>SUM($D$16:AK$16)</f>
        <v>0</v>
      </c>
      <c r="AL17" s="17">
        <f>SUM($D$16:AL$16)</f>
        <v>0</v>
      </c>
      <c r="AM17" s="17">
        <f>SUM($D$16:AM$16)</f>
        <v>0</v>
      </c>
      <c r="AN17" s="17">
        <f>SUM($D$16:AN$16)</f>
        <v>0</v>
      </c>
      <c r="AO17" s="17">
        <f>SUM($D$16:AO$16)</f>
        <v>0</v>
      </c>
      <c r="AP17" s="17">
        <f>SUM($D$16:AP$16)</f>
        <v>0</v>
      </c>
      <c r="AQ17" s="17">
        <f>SUM($D$16:AQ$16)</f>
        <v>0</v>
      </c>
      <c r="AR17" s="17">
        <f>SUM($D$16:AR$16)</f>
        <v>0</v>
      </c>
      <c r="AS17" s="17">
        <f>SUM($D$16:AS$16)</f>
        <v>0</v>
      </c>
      <c r="AT17" s="17">
        <f>SUM($D$16:AT$16)</f>
        <v>0</v>
      </c>
      <c r="AU17" s="17">
        <f>SUM($D$16:AU$16)</f>
        <v>0</v>
      </c>
      <c r="AV17" s="17">
        <f>SUM($D$16:AV$16)</f>
        <v>0</v>
      </c>
      <c r="AW17" s="17">
        <f>SUM($D$16:AW$16)</f>
        <v>0</v>
      </c>
      <c r="AX17" s="17">
        <f>SUM($D$16:AX$16)</f>
        <v>0</v>
      </c>
      <c r="AY17" s="17">
        <f>SUM($D$16:AY$16)</f>
        <v>0</v>
      </c>
      <c r="AZ17" s="17">
        <f>SUM($D$16:AZ$16)</f>
        <v>0</v>
      </c>
      <c r="BA17" s="17">
        <f>SUM($D$16:BA$16)</f>
        <v>0</v>
      </c>
      <c r="BB17" s="17">
        <f>SUM($D$16:BB$16)</f>
        <v>0</v>
      </c>
      <c r="BC17" s="17">
        <f>SUM($D$16:BC$16)</f>
        <v>0</v>
      </c>
      <c r="BD17" s="17">
        <f>SUM($D$16:BD$16)</f>
        <v>0</v>
      </c>
      <c r="BE17" s="17">
        <f>SUM($D$16:BE$16)</f>
        <v>0</v>
      </c>
      <c r="BF17" s="17">
        <f>SUM($D$16:BF$16)</f>
        <v>0</v>
      </c>
      <c r="BG17" s="32">
        <f>SUM($D$16:BG$16)</f>
        <v>0</v>
      </c>
    </row>
    <row r="18" spans="2:59" s="3" customFormat="1" x14ac:dyDescent="0.3">
      <c r="B18" s="30" t="s">
        <v>280</v>
      </c>
      <c r="C18" s="11"/>
      <c r="D18" s="11"/>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31"/>
    </row>
    <row r="19" spans="2:59" s="3" customFormat="1" x14ac:dyDescent="0.3">
      <c r="B19" s="26" t="s">
        <v>277</v>
      </c>
      <c r="C19" s="7" t="s">
        <v>172</v>
      </c>
      <c r="D19" s="16">
        <f>IF(AND(--RIGHT(D$9,2)&gt;=(--RIGHT(Emissions!$E$10,2)),--RIGHT(D$9,2)&lt;(--RIGHT(Emissions!$E$10,2)+Emissions!$E$11)),ProjAbate[[#Totals],[FY24/25]]*Parameters!E$35,0)</f>
        <v>0</v>
      </c>
      <c r="E19" s="16">
        <f>IF(AND(--RIGHT(E$9,2)&gt;=(--RIGHT(Emissions!$E$10,2)),--RIGHT(E$9,2)&lt;(--RIGHT(Emissions!$E$10,2)+Emissions!$E$11)),ProjAbate[[#Totals],[FY25/26]]*Parameters!F$35,0)</f>
        <v>0</v>
      </c>
      <c r="F19" s="16">
        <f>IF(AND(--RIGHT(F$9,2)&gt;=(--RIGHT(Emissions!$E$10,2)),--RIGHT(F$9,2)&lt;(--RIGHT(Emissions!$E$10,2)+Emissions!$E$11)),ProjAbate[[#Totals],[FY26/27]]*Parameters!G$35,0)</f>
        <v>0</v>
      </c>
      <c r="G19" s="16">
        <f>IF(AND(--RIGHT(G$9,2)&gt;=(--RIGHT(Emissions!$E$10,2)),--RIGHT(G$9,2)&lt;(--RIGHT(Emissions!$E$10,2)+Emissions!$E$11)),ProjAbate[[#Totals],[FY27/28]]*Parameters!H$35,0)</f>
        <v>0</v>
      </c>
      <c r="H19" s="16">
        <f>IF(AND(--RIGHT(H$9,2)&gt;=(--RIGHT(Emissions!$E$10,2)),--RIGHT(H$9,2)&lt;(--RIGHT(Emissions!$E$10,2)+Emissions!$E$11)),ProjAbate[[#Totals],[FY28/29]]*Parameters!I$35,0)</f>
        <v>0</v>
      </c>
      <c r="I19" s="16">
        <f>IF(AND(--RIGHT(I$9,2)&gt;=(--RIGHT(Emissions!$E$10,2)),--RIGHT(I$9,2)&lt;(--RIGHT(Emissions!$E$10,2)+Emissions!$E$11)),ProjAbate[[#Totals],[FY29/30]]*Parameters!J$35,0)</f>
        <v>0</v>
      </c>
      <c r="J19" s="16">
        <f>IF(AND(--RIGHT(J$9,2)&gt;=(--RIGHT(Emissions!$E$10,2)),--RIGHT(J$9,2)&lt;(--RIGHT(Emissions!$E$10,2)+Emissions!$E$11)),ProjAbate[[#Totals],[FY30/31]]*Parameters!K$35,0)</f>
        <v>0</v>
      </c>
      <c r="K19" s="16">
        <f>IF(AND(--RIGHT(K$9,2)&gt;=(--RIGHT(Emissions!$E$10,2)),--RIGHT(K$9,2)&lt;(--RIGHT(Emissions!$E$10,2)+Emissions!$E$11)),ProjAbate[[#Totals],[FY31/32]]*Parameters!L$35,0)</f>
        <v>0</v>
      </c>
      <c r="L19" s="16">
        <f>IF(AND(--RIGHT(L$9,2)&gt;=(--RIGHT(Emissions!$E$10,2)),--RIGHT(L$9,2)&lt;(--RIGHT(Emissions!$E$10,2)+Emissions!$E$11)),ProjAbate[[#Totals],[FY32/33]]*Parameters!M$35,0)</f>
        <v>0</v>
      </c>
      <c r="M19" s="16">
        <f>IF(AND(--RIGHT(M$9,2)&gt;=(--RIGHT(Emissions!$E$10,2)),--RIGHT(M$9,2)&lt;(--RIGHT(Emissions!$E$10,2)+Emissions!$E$11)),ProjAbate[[#Totals],[FY33/34]]*Parameters!N$35,0)</f>
        <v>0</v>
      </c>
      <c r="N19" s="16">
        <f>IF(AND(--RIGHT(N$9,2)&gt;=(--RIGHT(Emissions!$E$10,2)),--RIGHT(N$9,2)&lt;(--RIGHT(Emissions!$E$10,2)+Emissions!$E$11)),ProjAbate[[#Totals],[FY34/35]]*Parameters!O$35,0)</f>
        <v>0</v>
      </c>
      <c r="O19" s="16">
        <f>IF(AND(--RIGHT(O$9,2)&gt;=(--RIGHT(Emissions!$E$10,2)),--RIGHT(O$9,2)&lt;(--RIGHT(Emissions!$E$10,2)+Emissions!$E$11)),ProjAbate[[#Totals],[FY35/36]]*Parameters!P$35,0)</f>
        <v>0</v>
      </c>
      <c r="P19" s="16">
        <f>IF(AND(--RIGHT(P$9,2)&gt;=(--RIGHT(Emissions!$E$10,2)),--RIGHT(P$9,2)&lt;(--RIGHT(Emissions!$E$10,2)+Emissions!$E$11)),ProjAbate[[#Totals],[FY36/37]]*Parameters!Q$35,0)</f>
        <v>0</v>
      </c>
      <c r="Q19" s="16">
        <f>IF(AND(--RIGHT(Q$9,2)&gt;=(--RIGHT(Emissions!$E$10,2)),--RIGHT(Q$9,2)&lt;(--RIGHT(Emissions!$E$10,2)+Emissions!$E$11)),ProjAbate[[#Totals],[FY37/38]]*Parameters!R$35,0)</f>
        <v>0</v>
      </c>
      <c r="R19" s="16">
        <f>IF(AND(--RIGHT(R$9,2)&gt;=(--RIGHT(Emissions!$E$10,2)),--RIGHT(R$9,2)&lt;(--RIGHT(Emissions!$E$10,2)+Emissions!$E$11)),ProjAbate[[#Totals],[FY38/39]]*Parameters!S$35,0)</f>
        <v>0</v>
      </c>
      <c r="S19" s="16">
        <f>IF(AND(--RIGHT(S$9,2)&gt;=(--RIGHT(Emissions!$E$10,2)),--RIGHT(S$9,2)&lt;(--RIGHT(Emissions!$E$10,2)+Emissions!$E$11)),ProjAbate[[#Totals],[FY39/40]]*Parameters!T$35,0)</f>
        <v>0</v>
      </c>
      <c r="T19" s="16">
        <f>IF(AND(--RIGHT(T$9,2)&gt;=(--RIGHT(Emissions!$E$10,2)),--RIGHT(T$9,2)&lt;(--RIGHT(Emissions!$E$10,2)+Emissions!$E$11)),ProjAbate[[#Totals],[FY40/41]]*Parameters!U$35,0)</f>
        <v>0</v>
      </c>
      <c r="U19" s="16">
        <f>IF(AND(--RIGHT(U$9,2)&gt;=(--RIGHT(Emissions!$E$10,2)),--RIGHT(U$9,2)&lt;(--RIGHT(Emissions!$E$10,2)+Emissions!$E$11)),ProjAbate[[#Totals],[FY41/42]]*Parameters!V$35,0)</f>
        <v>0</v>
      </c>
      <c r="V19" s="16">
        <f>IF(AND(--RIGHT(V$9,2)&gt;=(--RIGHT(Emissions!$E$10,2)),--RIGHT(V$9,2)&lt;(--RIGHT(Emissions!$E$10,2)+Emissions!$E$11)),ProjAbate[[#Totals],[FY42/43]]*Parameters!W$35,0)</f>
        <v>0</v>
      </c>
      <c r="W19" s="16">
        <f>IF(AND(--RIGHT(W$9,2)&gt;=(--RIGHT(Emissions!$E$10,2)),--RIGHT(W$9,2)&lt;(--RIGHT(Emissions!$E$10,2)+Emissions!$E$11)),ProjAbate[[#Totals],[FY43/44]]*Parameters!X$35,0)</f>
        <v>0</v>
      </c>
      <c r="X19" s="16">
        <f>IF(AND(--RIGHT(X$9,2)&gt;=(--RIGHT(Emissions!$E$10,2)),--RIGHT(X$9,2)&lt;(--RIGHT(Emissions!$E$10,2)+Emissions!$E$11)),ProjAbate[[#Totals],[FY44/45]]*Parameters!Y$35,0)</f>
        <v>0</v>
      </c>
      <c r="Y19" s="16">
        <f>IF(AND(--RIGHT(Y$9,2)&gt;=(--RIGHT(Emissions!$E$10,2)),--RIGHT(Y$9,2)&lt;(--RIGHT(Emissions!$E$10,2)+Emissions!$E$11)),ProjAbate[[#Totals],[FY45/46]]*Parameters!Z$35,0)</f>
        <v>0</v>
      </c>
      <c r="Z19" s="16">
        <f>IF(AND(--RIGHT(Z$9,2)&gt;=(--RIGHT(Emissions!$E$10,2)),--RIGHT(Z$9,2)&lt;(--RIGHT(Emissions!$E$10,2)+Emissions!$E$11)),ProjAbate[[#Totals],[FY46/47]]*Parameters!AA$35,0)</f>
        <v>0</v>
      </c>
      <c r="AA19" s="16">
        <f>IF(AND(--RIGHT(AA$9,2)&gt;=(--RIGHT(Emissions!$E$10,2)),--RIGHT(AA$9,2)&lt;(--RIGHT(Emissions!$E$10,2)+Emissions!$E$11)),ProjAbate[[#Totals],[FY47/48]]*Parameters!AB$35,0)</f>
        <v>0</v>
      </c>
      <c r="AB19" s="16">
        <f>IF(AND(--RIGHT(AB$9,2)&gt;=(--RIGHT(Emissions!$E$10,2)),--RIGHT(AB$9,2)&lt;(--RIGHT(Emissions!$E$10,2)+Emissions!$E$11)),ProjAbate[[#Totals],[FY48/49]]*Parameters!AC$35,0)</f>
        <v>0</v>
      </c>
      <c r="AC19" s="16">
        <f>IF(AND(--RIGHT(AC$9,2)&gt;=(--RIGHT(Emissions!$E$10,2)),--RIGHT(AC$9,2)&lt;(--RIGHT(Emissions!$E$10,2)+Emissions!$E$11)),ProjAbate[[#Totals],[FY49/50]]*Parameters!AD$35,0)</f>
        <v>0</v>
      </c>
      <c r="AD19" s="16">
        <f>IF(AND(--RIGHT(AD$9,2)&gt;=(--RIGHT(Emissions!$E$10,2)),--RIGHT(AD$9,2)&lt;(--RIGHT(Emissions!$E$10,2)+Emissions!$E$11)),ProjAbate[[#Totals],[FY50/51]]*Parameters!AE$35,0)</f>
        <v>0</v>
      </c>
      <c r="AE19" s="16">
        <f>IF(AND(--RIGHT(AE$9,2)&gt;=(--RIGHT(Emissions!$E$10,2)),--RIGHT(AE$9,2)&lt;(--RIGHT(Emissions!$E$10,2)+Emissions!$E$11)),ProjAbate[[#Totals],[FY51/52]]*Parameters!AF$35,0)</f>
        <v>0</v>
      </c>
      <c r="AF19" s="16">
        <f>IF(AND(--RIGHT(AF$9,2)&gt;=(--RIGHT(Emissions!$E$10,2)),--RIGHT(AF$9,2)&lt;(--RIGHT(Emissions!$E$10,2)+Emissions!$E$11)),ProjAbate[[#Totals],[FY52/53]]*Parameters!AG$35,0)</f>
        <v>0</v>
      </c>
      <c r="AG19" s="16">
        <f>IF(AND(--RIGHT(AG$9,2)&gt;=(--RIGHT(Emissions!$E$10,2)),--RIGHT(AG$9,2)&lt;(--RIGHT(Emissions!$E$10,2)+Emissions!$E$11)),ProjAbate[[#Totals],[FY53/54]]*Parameters!AH$35,0)</f>
        <v>0</v>
      </c>
      <c r="AH19" s="16">
        <f>IF(AND(--RIGHT(AH$9,2)&gt;=(--RIGHT(Emissions!$E$10,2)),--RIGHT(AH$9,2)&lt;(--RIGHT(Emissions!$E$10,2)+Emissions!$E$11)),ProjAbate[[#Totals],[FY54/55]]*Parameters!AI$35,0)</f>
        <v>0</v>
      </c>
      <c r="AI19" s="16">
        <f>IF(AND(--RIGHT(AI$9,2)&gt;=(--RIGHT(Emissions!$E$10,2)),--RIGHT(AI$9,2)&lt;(--RIGHT(Emissions!$E$10,2)+Emissions!$E$11)),ProjAbate[[#Totals],[FY55/56]]*Parameters!AJ$35,0)</f>
        <v>0</v>
      </c>
      <c r="AJ19" s="16">
        <f>IF(AND(--RIGHT(AJ$9,2)&gt;=(--RIGHT(Emissions!$E$10,2)),--RIGHT(AJ$9,2)&lt;(--RIGHT(Emissions!$E$10,2)+Emissions!$E$11)),ProjAbate[[#Totals],[FY56/57]]*Parameters!AK$35,0)</f>
        <v>0</v>
      </c>
      <c r="AK19" s="16">
        <f>IF(AND(--RIGHT(AK$9,2)&gt;=(--RIGHT(Emissions!$E$10,2)),--RIGHT(AK$9,2)&lt;(--RIGHT(Emissions!$E$10,2)+Emissions!$E$11)),ProjAbate[[#Totals],[FY57/58]]*Parameters!AL$35,0)</f>
        <v>0</v>
      </c>
      <c r="AL19" s="16">
        <f>IF(AND(--RIGHT(AL$9,2)&gt;=(--RIGHT(Emissions!$E$10,2)),--RIGHT(AL$9,2)&lt;(--RIGHT(Emissions!$E$10,2)+Emissions!$E$11)),ProjAbate[[#Totals],[FY58/59]]*Parameters!AM$35,0)</f>
        <v>0</v>
      </c>
      <c r="AM19" s="16">
        <f>IF(AND(--RIGHT(AM$9,2)&gt;=(--RIGHT(Emissions!$E$10,2)),--RIGHT(AM$9,2)&lt;(--RIGHT(Emissions!$E$10,2)+Emissions!$E$11)),ProjAbate[[#Totals],[FY59/60]]*Parameters!AN$35,0)</f>
        <v>0</v>
      </c>
      <c r="AN19" s="16">
        <f>IF(AND(--RIGHT(AN$9,2)&gt;=(--RIGHT(Emissions!$E$10,2)),--RIGHT(AN$9,2)&lt;(--RIGHT(Emissions!$E$10,2)+Emissions!$E$11)),ProjAbate[[#Totals],[FY60/61]]*Parameters!AO$35,0)</f>
        <v>0</v>
      </c>
      <c r="AO19" s="16">
        <f>IF(AND(--RIGHT(AO$9,2)&gt;=(--RIGHT(Emissions!$E$10,2)),--RIGHT(AO$9,2)&lt;(--RIGHT(Emissions!$E$10,2)+Emissions!$E$11)),ProjAbate[[#Totals],[FY61/62]]*Parameters!AP$35,0)</f>
        <v>0</v>
      </c>
      <c r="AP19" s="16">
        <f>IF(AND(--RIGHT(AP$9,2)&gt;=(--RIGHT(Emissions!$E$10,2)),--RIGHT(AP$9,2)&lt;(--RIGHT(Emissions!$E$10,2)+Emissions!$E$11)),ProjAbate[[#Totals],[FY62/63]]*Parameters!AQ$35,0)</f>
        <v>0</v>
      </c>
      <c r="AQ19" s="16">
        <f>IF(AND(--RIGHT(AQ$9,2)&gt;=(--RIGHT(Emissions!$E$10,2)),--RIGHT(AQ$9,2)&lt;(--RIGHT(Emissions!$E$10,2)+Emissions!$E$11)),ProjAbate[[#Totals],[FY63/64]]*Parameters!AR$35,0)</f>
        <v>0</v>
      </c>
      <c r="AR19" s="16">
        <f>IF(AND(--RIGHT(AR$9,2)&gt;=(--RIGHT(Emissions!$E$10,2)),--RIGHT(AR$9,2)&lt;(--RIGHT(Emissions!$E$10,2)+Emissions!$E$11)),ProjAbate[[#Totals],[FY64/65]]*Parameters!AS$35,0)</f>
        <v>0</v>
      </c>
      <c r="AS19" s="16">
        <f>IF(AND(--RIGHT(AS$9,2)&gt;=(--RIGHT(Emissions!$E$10,2)),--RIGHT(AS$9,2)&lt;(--RIGHT(Emissions!$E$10,2)+Emissions!$E$11)),ProjAbate[[#Totals],[FY65/66]]*Parameters!AT$35,0)</f>
        <v>0</v>
      </c>
      <c r="AT19" s="16">
        <f>IF(AND(--RIGHT(AT$9,2)&gt;=(--RIGHT(Emissions!$E$10,2)),--RIGHT(AT$9,2)&lt;(--RIGHT(Emissions!$E$10,2)+Emissions!$E$11)),ProjAbate[[#Totals],[FY66/67]]*Parameters!AU$35,0)</f>
        <v>0</v>
      </c>
      <c r="AU19" s="16">
        <f>IF(AND(--RIGHT(AU$9,2)&gt;=(--RIGHT(Emissions!$E$10,2)),--RIGHT(AU$9,2)&lt;(--RIGHT(Emissions!$E$10,2)+Emissions!$E$11)),ProjAbate[[#Totals],[FY67/68]]*Parameters!AV$35,0)</f>
        <v>0</v>
      </c>
      <c r="AV19" s="16">
        <f>IF(AND(--RIGHT(AV$9,2)&gt;=(--RIGHT(Emissions!$E$10,2)),--RIGHT(AV$9,2)&lt;(--RIGHT(Emissions!$E$10,2)+Emissions!$E$11)),ProjAbate[[#Totals],[FY68/69]]*Parameters!AW$35,0)</f>
        <v>0</v>
      </c>
      <c r="AW19" s="16">
        <f>IF(AND(--RIGHT(AW$9,2)&gt;=(--RIGHT(Emissions!$E$10,2)),--RIGHT(AW$9,2)&lt;(--RIGHT(Emissions!$E$10,2)+Emissions!$E$11)),ProjAbate[[#Totals],[FY69/70]]*Parameters!AX$35,0)</f>
        <v>0</v>
      </c>
      <c r="AX19" s="16">
        <f>IF(AND(--RIGHT(AX$9,2)&gt;=(--RIGHT(Emissions!$E$10,2)),--RIGHT(AX$9,2)&lt;(--RIGHT(Emissions!$E$10,2)+Emissions!$E$11)),ProjAbate[[#Totals],[FY70/71]]*Parameters!AY$35,0)</f>
        <v>0</v>
      </c>
      <c r="AY19" s="16">
        <f>IF(AND(--RIGHT(AY$9,2)&gt;=(--RIGHT(Emissions!$E$10,2)),--RIGHT(AY$9,2)&lt;(--RIGHT(Emissions!$E$10,2)+Emissions!$E$11)),ProjAbate[[#Totals],[FY71/72]]*Parameters!AZ$35,0)</f>
        <v>0</v>
      </c>
      <c r="AZ19" s="16">
        <f>IF(AND(--RIGHT(AZ$9,2)&gt;=(--RIGHT(Emissions!$E$10,2)),--RIGHT(AZ$9,2)&lt;(--RIGHT(Emissions!$E$10,2)+Emissions!$E$11)),ProjAbate[[#Totals],[FY72/73]]*Parameters!BA$35,0)</f>
        <v>0</v>
      </c>
      <c r="BA19" s="16">
        <f>IF(AND(--RIGHT(BA$9,2)&gt;=(--RIGHT(Emissions!$E$10,2)),--RIGHT(BA$9,2)&lt;(--RIGHT(Emissions!$E$10,2)+Emissions!$E$11)),ProjAbate[[#Totals],[FY73/74]]*Parameters!BB$35,0)</f>
        <v>0</v>
      </c>
      <c r="BB19" s="16">
        <f>IF(AND(--RIGHT(BB$9,2)&gt;=(--RIGHT(Emissions!$E$10,2)),--RIGHT(BB$9,2)&lt;(--RIGHT(Emissions!$E$10,2)+Emissions!$E$11)),ProjAbate[[#Totals],[FY74/75]]*Parameters!BC$35,0)</f>
        <v>0</v>
      </c>
      <c r="BC19" s="16">
        <f>IF(AND(--RIGHT(BC$9,2)&gt;=(--RIGHT(Emissions!$E$10,2)),--RIGHT(BC$9,2)&lt;(--RIGHT(Emissions!$E$10,2)+Emissions!$E$11)),ProjAbate[[#Totals],[FY75/76]]*Parameters!BD$35,0)</f>
        <v>0</v>
      </c>
      <c r="BD19" s="16">
        <f>IF(AND(--RIGHT(BD$9,2)&gt;=(--RIGHT(Emissions!$E$10,2)),--RIGHT(BD$9,2)&lt;(--RIGHT(Emissions!$E$10,2)+Emissions!$E$11)),ProjAbate[[#Totals],[FY76/77]]*Parameters!BE$35,0)</f>
        <v>0</v>
      </c>
      <c r="BE19" s="16">
        <f>IF(AND(--RIGHT(BE$9,2)&gt;=(--RIGHT(Emissions!$E$10,2)),--RIGHT(BE$9,2)&lt;(--RIGHT(Emissions!$E$10,2)+Emissions!$E$11)),ProjAbate[[#Totals],[FY77/78]]*Parameters!BF$35,0)</f>
        <v>0</v>
      </c>
      <c r="BF19" s="16">
        <f>IF(AND(--RIGHT(BF$9,2)&gt;=(--RIGHT(Emissions!$E$10,2)),--RIGHT(BF$9,2)&lt;(--RIGHT(Emissions!$E$10,2)+Emissions!$E$11)),ProjAbate[[#Totals],[FY78/79]]*Parameters!BG$35,0)</f>
        <v>0</v>
      </c>
      <c r="BG19" s="27">
        <f>IF(AND(--RIGHT(BG$9,2)&gt;=(--RIGHT(Emissions!$E$10,2)),--RIGHT(BG$9,2)&lt;(--RIGHT(Emissions!$E$10,2)+Emissions!$E$11)),ProjAbate[[#Totals],[FY79/80]]*Parameters!BH$35,0)</f>
        <v>0</v>
      </c>
    </row>
    <row r="20" spans="2:59" s="3" customFormat="1" x14ac:dyDescent="0.3">
      <c r="B20" s="26" t="s">
        <v>278</v>
      </c>
      <c r="C20" s="7" t="s">
        <v>172</v>
      </c>
      <c r="D20" s="16">
        <f>IF(AND(--RIGHT(D$9,2)&gt;=(--RIGHT(Emissions!$E$10,2)),--RIGHT(D$9,2)&lt;(--RIGHT(Emissions!$E$10,2)+Emissions!$E$11)),D$19-Finance!E$29,0)</f>
        <v>0</v>
      </c>
      <c r="E20" s="16">
        <f>IF(AND(--RIGHT(E$9,2)&gt;=(--RIGHT(Emissions!$E$10,2)),--RIGHT(E$9,2)&lt;(--RIGHT(Emissions!$E$10,2)+Emissions!$E$11)),E$19-Finance!F$29,0)</f>
        <v>0</v>
      </c>
      <c r="F20" s="16">
        <f>IF(AND(--RIGHT(F$9,2)&gt;=(--RIGHT(Emissions!$E$10,2)),--RIGHT(F$9,2)&lt;(--RIGHT(Emissions!$E$10,2)+Emissions!$E$11)),F$19-Finance!G$29,0)</f>
        <v>0</v>
      </c>
      <c r="G20" s="16">
        <f>IF(AND(--RIGHT(G$9,2)&gt;=(--RIGHT(Emissions!$E$10,2)),--RIGHT(G$9,2)&lt;(--RIGHT(Emissions!$E$10,2)+Emissions!$E$11)),G$19-Finance!H$29,0)</f>
        <v>0</v>
      </c>
      <c r="H20" s="16">
        <f>IF(AND(--RIGHT(H$9,2)&gt;=(--RIGHT(Emissions!$E$10,2)),--RIGHT(H$9,2)&lt;(--RIGHT(Emissions!$E$10,2)+Emissions!$E$11)),H$19-Finance!I$29,0)</f>
        <v>0</v>
      </c>
      <c r="I20" s="16">
        <f>IF(AND(--RIGHT(I$9,2)&gt;=(--RIGHT(Emissions!$E$10,2)),--RIGHT(I$9,2)&lt;(--RIGHT(Emissions!$E$10,2)+Emissions!$E$11)),I$19-Finance!J$29,0)</f>
        <v>0</v>
      </c>
      <c r="J20" s="16">
        <f>IF(AND(--RIGHT(J$9,2)&gt;=(--RIGHT(Emissions!$E$10,2)),--RIGHT(J$9,2)&lt;(--RIGHT(Emissions!$E$10,2)+Emissions!$E$11)),J$19-Finance!K$29,0)</f>
        <v>0</v>
      </c>
      <c r="K20" s="16">
        <f>IF(AND(--RIGHT(K$9,2)&gt;=(--RIGHT(Emissions!$E$10,2)),--RIGHT(K$9,2)&lt;(--RIGHT(Emissions!$E$10,2)+Emissions!$E$11)),K$19-Finance!L$29,0)</f>
        <v>0</v>
      </c>
      <c r="L20" s="16">
        <f>IF(AND(--RIGHT(L$9,2)&gt;=(--RIGHT(Emissions!$E$10,2)),--RIGHT(L$9,2)&lt;(--RIGHT(Emissions!$E$10,2)+Emissions!$E$11)),L$19-Finance!M$29,0)</f>
        <v>0</v>
      </c>
      <c r="M20" s="16">
        <f>IF(AND(--RIGHT(M$9,2)&gt;=(--RIGHT(Emissions!$E$10,2)),--RIGHT(M$9,2)&lt;(--RIGHT(Emissions!$E$10,2)+Emissions!$E$11)),M$19-Finance!N$29,0)</f>
        <v>0</v>
      </c>
      <c r="N20" s="16">
        <f>IF(AND(--RIGHT(N$9,2)&gt;=(--RIGHT(Emissions!$E$10,2)),--RIGHT(N$9,2)&lt;(--RIGHT(Emissions!$E$10,2)+Emissions!$E$11)),N$19-Finance!O$29,0)</f>
        <v>0</v>
      </c>
      <c r="O20" s="16">
        <f>IF(AND(--RIGHT(O$9,2)&gt;=(--RIGHT(Emissions!$E$10,2)),--RIGHT(O$9,2)&lt;(--RIGHT(Emissions!$E$10,2)+Emissions!$E$11)),O$19-Finance!P$29,0)</f>
        <v>0</v>
      </c>
      <c r="P20" s="16">
        <f>IF(AND(--RIGHT(P$9,2)&gt;=(--RIGHT(Emissions!$E$10,2)),--RIGHT(P$9,2)&lt;(--RIGHT(Emissions!$E$10,2)+Emissions!$E$11)),P$19-Finance!Q$29,0)</f>
        <v>0</v>
      </c>
      <c r="Q20" s="16">
        <f>IF(AND(--RIGHT(Q$9,2)&gt;=(--RIGHT(Emissions!$E$10,2)),--RIGHT(Q$9,2)&lt;(--RIGHT(Emissions!$E$10,2)+Emissions!$E$11)),Q$19-Finance!R$29,0)</f>
        <v>0</v>
      </c>
      <c r="R20" s="16">
        <f>IF(AND(--RIGHT(R$9,2)&gt;=(--RIGHT(Emissions!$E$10,2)),--RIGHT(R$9,2)&lt;(--RIGHT(Emissions!$E$10,2)+Emissions!$E$11)),R$19-Finance!S$29,0)</f>
        <v>0</v>
      </c>
      <c r="S20" s="16">
        <f>IF(AND(--RIGHT(S$9,2)&gt;=(--RIGHT(Emissions!$E$10,2)),--RIGHT(S$9,2)&lt;(--RIGHT(Emissions!$E$10,2)+Emissions!$E$11)),S$19-Finance!T$29,0)</f>
        <v>0</v>
      </c>
      <c r="T20" s="16">
        <f>IF(AND(--RIGHT(T$9,2)&gt;=(--RIGHT(Emissions!$E$10,2)),--RIGHT(T$9,2)&lt;(--RIGHT(Emissions!$E$10,2)+Emissions!$E$11)),T$19-Finance!U$29,0)</f>
        <v>0</v>
      </c>
      <c r="U20" s="16">
        <f>IF(AND(--RIGHT(U$9,2)&gt;=(--RIGHT(Emissions!$E$10,2)),--RIGHT(U$9,2)&lt;(--RIGHT(Emissions!$E$10,2)+Emissions!$E$11)),U$19-Finance!V$29,0)</f>
        <v>0</v>
      </c>
      <c r="V20" s="16">
        <f>IF(AND(--RIGHT(V$9,2)&gt;=(--RIGHT(Emissions!$E$10,2)),--RIGHT(V$9,2)&lt;(--RIGHT(Emissions!$E$10,2)+Emissions!$E$11)),V$19-Finance!W$29,0)</f>
        <v>0</v>
      </c>
      <c r="W20" s="16">
        <f>IF(AND(--RIGHT(W$9,2)&gt;=(--RIGHT(Emissions!$E$10,2)),--RIGHT(W$9,2)&lt;(--RIGHT(Emissions!$E$10,2)+Emissions!$E$11)),W$19-Finance!X$29,0)</f>
        <v>0</v>
      </c>
      <c r="X20" s="16">
        <f>IF(AND(--RIGHT(X$9,2)&gt;=(--RIGHT(Emissions!$E$10,2)),--RIGHT(X$9,2)&lt;(--RIGHT(Emissions!$E$10,2)+Emissions!$E$11)),X$19-Finance!Y$29,0)</f>
        <v>0</v>
      </c>
      <c r="Y20" s="16">
        <f>IF(AND(--RIGHT(Y$9,2)&gt;=(--RIGHT(Emissions!$E$10,2)),--RIGHT(Y$9,2)&lt;(--RIGHT(Emissions!$E$10,2)+Emissions!$E$11)),Y$19-Finance!Z$29,0)</f>
        <v>0</v>
      </c>
      <c r="Z20" s="16">
        <f>IF(AND(--RIGHT(Z$9,2)&gt;=(--RIGHT(Emissions!$E$10,2)),--RIGHT(Z$9,2)&lt;(--RIGHT(Emissions!$E$10,2)+Emissions!$E$11)),Z$19-Finance!AA$29,0)</f>
        <v>0</v>
      </c>
      <c r="AA20" s="16">
        <f>IF(AND(--RIGHT(AA$9,2)&gt;=(--RIGHT(Emissions!$E$10,2)),--RIGHT(AA$9,2)&lt;(--RIGHT(Emissions!$E$10,2)+Emissions!$E$11)),AA$19-Finance!AB$29,0)</f>
        <v>0</v>
      </c>
      <c r="AB20" s="16">
        <f>IF(AND(--RIGHT(AB$9,2)&gt;=(--RIGHT(Emissions!$E$10,2)),--RIGHT(AB$9,2)&lt;(--RIGHT(Emissions!$E$10,2)+Emissions!$E$11)),AB$19-Finance!AC$29,0)</f>
        <v>0</v>
      </c>
      <c r="AC20" s="16">
        <f>IF(AND(--RIGHT(AC$9,2)&gt;=(--RIGHT(Emissions!$E$10,2)),--RIGHT(AC$9,2)&lt;(--RIGHT(Emissions!$E$10,2)+Emissions!$E$11)),AC$19-Finance!AD$29,0)</f>
        <v>0</v>
      </c>
      <c r="AD20" s="16">
        <f>IF(AND(--RIGHT(AD$9,2)&gt;=(--RIGHT(Emissions!$E$10,2)),--RIGHT(AD$9,2)&lt;(--RIGHT(Emissions!$E$10,2)+Emissions!$E$11)),AD$19-Finance!AE$29,0)</f>
        <v>0</v>
      </c>
      <c r="AE20" s="16">
        <f>IF(AND(--RIGHT(AE$9,2)&gt;=(--RIGHT(Emissions!$E$10,2)),--RIGHT(AE$9,2)&lt;(--RIGHT(Emissions!$E$10,2)+Emissions!$E$11)),AE$19-Finance!AF$29,0)</f>
        <v>0</v>
      </c>
      <c r="AF20" s="16">
        <f>IF(AND(--RIGHT(AF$9,2)&gt;=(--RIGHT(Emissions!$E$10,2)),--RIGHT(AF$9,2)&lt;(--RIGHT(Emissions!$E$10,2)+Emissions!$E$11)),AF$19-Finance!AG$29,0)</f>
        <v>0</v>
      </c>
      <c r="AG20" s="16">
        <f>IF(AND(--RIGHT(AG$9,2)&gt;=(--RIGHT(Emissions!$E$10,2)),--RIGHT(AG$9,2)&lt;(--RIGHT(Emissions!$E$10,2)+Emissions!$E$11)),AG$19-Finance!AH$29,0)</f>
        <v>0</v>
      </c>
      <c r="AH20" s="16">
        <f>IF(AND(--RIGHT(AH$9,2)&gt;=(--RIGHT(Emissions!$E$10,2)),--RIGHT(AH$9,2)&lt;(--RIGHT(Emissions!$E$10,2)+Emissions!$E$11)),AH$19-Finance!AI$29,0)</f>
        <v>0</v>
      </c>
      <c r="AI20" s="16">
        <f>IF(AND(--RIGHT(AI$9,2)&gt;=(--RIGHT(Emissions!$E$10,2)),--RIGHT(AI$9,2)&lt;(--RIGHT(Emissions!$E$10,2)+Emissions!$E$11)),AI$19-Finance!AJ$29,0)</f>
        <v>0</v>
      </c>
      <c r="AJ20" s="16">
        <f>IF(AND(--RIGHT(AJ$9,2)&gt;=(--RIGHT(Emissions!$E$10,2)),--RIGHT(AJ$9,2)&lt;(--RIGHT(Emissions!$E$10,2)+Emissions!$E$11)),AJ$19-Finance!AK$29,0)</f>
        <v>0</v>
      </c>
      <c r="AK20" s="16">
        <f>IF(AND(--RIGHT(AK$9,2)&gt;=(--RIGHT(Emissions!$E$10,2)),--RIGHT(AK$9,2)&lt;(--RIGHT(Emissions!$E$10,2)+Emissions!$E$11)),AK$19-Finance!AL$29,0)</f>
        <v>0</v>
      </c>
      <c r="AL20" s="16">
        <f>IF(AND(--RIGHT(AL$9,2)&gt;=(--RIGHT(Emissions!$E$10,2)),--RIGHT(AL$9,2)&lt;(--RIGHT(Emissions!$E$10,2)+Emissions!$E$11)),AL$19-Finance!AM$29,0)</f>
        <v>0</v>
      </c>
      <c r="AM20" s="16">
        <f>IF(AND(--RIGHT(AM$9,2)&gt;=(--RIGHT(Emissions!$E$10,2)),--RIGHT(AM$9,2)&lt;(--RIGHT(Emissions!$E$10,2)+Emissions!$E$11)),AM$19-Finance!AN$29,0)</f>
        <v>0</v>
      </c>
      <c r="AN20" s="16">
        <f>IF(AND(--RIGHT(AN$9,2)&gt;=(--RIGHT(Emissions!$E$10,2)),--RIGHT(AN$9,2)&lt;(--RIGHT(Emissions!$E$10,2)+Emissions!$E$11)),AN$19-Finance!AO$29,0)</f>
        <v>0</v>
      </c>
      <c r="AO20" s="16">
        <f>IF(AND(--RIGHT(AO$9,2)&gt;=(--RIGHT(Emissions!$E$10,2)),--RIGHT(AO$9,2)&lt;(--RIGHT(Emissions!$E$10,2)+Emissions!$E$11)),AO$19-Finance!AP$29,0)</f>
        <v>0</v>
      </c>
      <c r="AP20" s="16">
        <f>IF(AND(--RIGHT(AP$9,2)&gt;=(--RIGHT(Emissions!$E$10,2)),--RIGHT(AP$9,2)&lt;(--RIGHT(Emissions!$E$10,2)+Emissions!$E$11)),AP$19-Finance!AQ$29,0)</f>
        <v>0</v>
      </c>
      <c r="AQ20" s="16">
        <f>IF(AND(--RIGHT(AQ$9,2)&gt;=(--RIGHT(Emissions!$E$10,2)),--RIGHT(AQ$9,2)&lt;(--RIGHT(Emissions!$E$10,2)+Emissions!$E$11)),AQ$19-Finance!AR$29,0)</f>
        <v>0</v>
      </c>
      <c r="AR20" s="16">
        <f>IF(AND(--RIGHT(AR$9,2)&gt;=(--RIGHT(Emissions!$E$10,2)),--RIGHT(AR$9,2)&lt;(--RIGHT(Emissions!$E$10,2)+Emissions!$E$11)),AR$19-Finance!AS$29,0)</f>
        <v>0</v>
      </c>
      <c r="AS20" s="16">
        <f>IF(AND(--RIGHT(AS$9,2)&gt;=(--RIGHT(Emissions!$E$10,2)),--RIGHT(AS$9,2)&lt;(--RIGHT(Emissions!$E$10,2)+Emissions!$E$11)),AS$19-Finance!AT$29,0)</f>
        <v>0</v>
      </c>
      <c r="AT20" s="16">
        <f>IF(AND(--RIGHT(AT$9,2)&gt;=(--RIGHT(Emissions!$E$10,2)),--RIGHT(AT$9,2)&lt;(--RIGHT(Emissions!$E$10,2)+Emissions!$E$11)),AT$19-Finance!AU$29,0)</f>
        <v>0</v>
      </c>
      <c r="AU20" s="16">
        <f>IF(AND(--RIGHT(AU$9,2)&gt;=(--RIGHT(Emissions!$E$10,2)),--RIGHT(AU$9,2)&lt;(--RIGHT(Emissions!$E$10,2)+Emissions!$E$11)),AU$19-Finance!AV$29,0)</f>
        <v>0</v>
      </c>
      <c r="AV20" s="16">
        <f>IF(AND(--RIGHT(AV$9,2)&gt;=(--RIGHT(Emissions!$E$10,2)),--RIGHT(AV$9,2)&lt;(--RIGHT(Emissions!$E$10,2)+Emissions!$E$11)),AV$19-Finance!AW$29,0)</f>
        <v>0</v>
      </c>
      <c r="AW20" s="16">
        <f>IF(AND(--RIGHT(AW$9,2)&gt;=(--RIGHT(Emissions!$E$10,2)),--RIGHT(AW$9,2)&lt;(--RIGHT(Emissions!$E$10,2)+Emissions!$E$11)),AW$19-Finance!AX$29,0)</f>
        <v>0</v>
      </c>
      <c r="AX20" s="16">
        <f>IF(AND(--RIGHT(AX$9,2)&gt;=(--RIGHT(Emissions!$E$10,2)),--RIGHT(AX$9,2)&lt;(--RIGHT(Emissions!$E$10,2)+Emissions!$E$11)),AX$19-Finance!AY$29,0)</f>
        <v>0</v>
      </c>
      <c r="AY20" s="16">
        <f>IF(AND(--RIGHT(AY$9,2)&gt;=(--RIGHT(Emissions!$E$10,2)),--RIGHT(AY$9,2)&lt;(--RIGHT(Emissions!$E$10,2)+Emissions!$E$11)),AY$19-Finance!AZ$29,0)</f>
        <v>0</v>
      </c>
      <c r="AZ20" s="16">
        <f>IF(AND(--RIGHT(AZ$9,2)&gt;=(--RIGHT(Emissions!$E$10,2)),--RIGHT(AZ$9,2)&lt;(--RIGHT(Emissions!$E$10,2)+Emissions!$E$11)),AZ$19-Finance!BA$29,0)</f>
        <v>0</v>
      </c>
      <c r="BA20" s="16">
        <f>IF(AND(--RIGHT(BA$9,2)&gt;=(--RIGHT(Emissions!$E$10,2)),--RIGHT(BA$9,2)&lt;(--RIGHT(Emissions!$E$10,2)+Emissions!$E$11)),BA$19-Finance!BB$29,0)</f>
        <v>0</v>
      </c>
      <c r="BB20" s="16">
        <f>IF(AND(--RIGHT(BB$9,2)&gt;=(--RIGHT(Emissions!$E$10,2)),--RIGHT(BB$9,2)&lt;(--RIGHT(Emissions!$E$10,2)+Emissions!$E$11)),BB$19-Finance!BC$29,0)</f>
        <v>0</v>
      </c>
      <c r="BC20" s="16">
        <f>IF(AND(--RIGHT(BC$9,2)&gt;=(--RIGHT(Emissions!$E$10,2)),--RIGHT(BC$9,2)&lt;(--RIGHT(Emissions!$E$10,2)+Emissions!$E$11)),BC$19-Finance!BD$29,0)</f>
        <v>0</v>
      </c>
      <c r="BD20" s="16">
        <f>IF(AND(--RIGHT(BD$9,2)&gt;=(--RIGHT(Emissions!$E$10,2)),--RIGHT(BD$9,2)&lt;(--RIGHT(Emissions!$E$10,2)+Emissions!$E$11)),BD$19-Finance!BE$29,0)</f>
        <v>0</v>
      </c>
      <c r="BE20" s="16">
        <f>IF(AND(--RIGHT(BE$9,2)&gt;=(--RIGHT(Emissions!$E$10,2)),--RIGHT(BE$9,2)&lt;(--RIGHT(Emissions!$E$10,2)+Emissions!$E$11)),BE$19-Finance!BF$29,0)</f>
        <v>0</v>
      </c>
      <c r="BF20" s="16">
        <f>IF(AND(--RIGHT(BF$9,2)&gt;=(--RIGHT(Emissions!$E$10,2)),--RIGHT(BF$9,2)&lt;(--RIGHT(Emissions!$E$10,2)+Emissions!$E$11)),BF$19-Finance!BG$29,0)</f>
        <v>0</v>
      </c>
      <c r="BG20" s="27">
        <f>IF(AND(--RIGHT(BG$9,2)&gt;=(--RIGHT(Emissions!$E$10,2)),--RIGHT(BG$9,2)&lt;(--RIGHT(Emissions!$E$10,2)+Emissions!$E$11)),BG$19-Finance!BH$29,0)</f>
        <v>0</v>
      </c>
    </row>
    <row r="21" spans="2:59" s="3" customFormat="1" ht="15" thickBot="1" x14ac:dyDescent="0.35">
      <c r="B21" s="28" t="s">
        <v>279</v>
      </c>
      <c r="C21" s="12" t="s">
        <v>172</v>
      </c>
      <c r="D21" s="17">
        <f>SUM($D$20:D$20)</f>
        <v>0</v>
      </c>
      <c r="E21" s="17">
        <f>SUM($D$20:E$20)</f>
        <v>0</v>
      </c>
      <c r="F21" s="17">
        <f>SUM($D$20:F$20)</f>
        <v>0</v>
      </c>
      <c r="G21" s="17">
        <f>SUM($D$20:G$20)</f>
        <v>0</v>
      </c>
      <c r="H21" s="17">
        <f>SUM($D$20:H$20)</f>
        <v>0</v>
      </c>
      <c r="I21" s="17">
        <f>SUM($D$20:I$20)</f>
        <v>0</v>
      </c>
      <c r="J21" s="17">
        <f>SUM($D$20:J$20)</f>
        <v>0</v>
      </c>
      <c r="K21" s="17">
        <f>SUM($D$20:K$20)</f>
        <v>0</v>
      </c>
      <c r="L21" s="17">
        <f>SUM($D$20:L$20)</f>
        <v>0</v>
      </c>
      <c r="M21" s="17">
        <f>SUM($D$20:M$20)</f>
        <v>0</v>
      </c>
      <c r="N21" s="17">
        <f>SUM($D$20:N$20)</f>
        <v>0</v>
      </c>
      <c r="O21" s="17">
        <f>SUM($D$20:O$20)</f>
        <v>0</v>
      </c>
      <c r="P21" s="17">
        <f>SUM($D$20:P$20)</f>
        <v>0</v>
      </c>
      <c r="Q21" s="17">
        <f>SUM($D$20:Q$20)</f>
        <v>0</v>
      </c>
      <c r="R21" s="17">
        <f>SUM($D$20:R$20)</f>
        <v>0</v>
      </c>
      <c r="S21" s="17">
        <f>SUM($D$20:S$20)</f>
        <v>0</v>
      </c>
      <c r="T21" s="17">
        <f>SUM($D$20:T$20)</f>
        <v>0</v>
      </c>
      <c r="U21" s="17">
        <f>SUM($D$20:U$20)</f>
        <v>0</v>
      </c>
      <c r="V21" s="17">
        <f>SUM($D$20:V$20)</f>
        <v>0</v>
      </c>
      <c r="W21" s="17">
        <f>SUM($D$20:W$20)</f>
        <v>0</v>
      </c>
      <c r="X21" s="17">
        <f>SUM($D$20:X$20)</f>
        <v>0</v>
      </c>
      <c r="Y21" s="17">
        <f>SUM($D$20:Y$20)</f>
        <v>0</v>
      </c>
      <c r="Z21" s="17">
        <f>SUM($D$20:Z$20)</f>
        <v>0</v>
      </c>
      <c r="AA21" s="17">
        <f>SUM($D$20:AA$20)</f>
        <v>0</v>
      </c>
      <c r="AB21" s="17">
        <f>SUM($D$20:AB$20)</f>
        <v>0</v>
      </c>
      <c r="AC21" s="17">
        <f>SUM($D$20:AC$20)</f>
        <v>0</v>
      </c>
      <c r="AD21" s="17">
        <f>SUM($D$20:AD$20)</f>
        <v>0</v>
      </c>
      <c r="AE21" s="17">
        <f>SUM($D$20:AE$20)</f>
        <v>0</v>
      </c>
      <c r="AF21" s="17">
        <f>SUM($D$20:AF$20)</f>
        <v>0</v>
      </c>
      <c r="AG21" s="17">
        <f>SUM($D$20:AG$20)</f>
        <v>0</v>
      </c>
      <c r="AH21" s="17">
        <f>SUM($D$20:AH$20)</f>
        <v>0</v>
      </c>
      <c r="AI21" s="17">
        <f>SUM($D$20:AI$20)</f>
        <v>0</v>
      </c>
      <c r="AJ21" s="17">
        <f>SUM($D$20:AJ$20)</f>
        <v>0</v>
      </c>
      <c r="AK21" s="17">
        <f>SUM($D$20:AK$20)</f>
        <v>0</v>
      </c>
      <c r="AL21" s="17">
        <f>SUM($D$20:AL$20)</f>
        <v>0</v>
      </c>
      <c r="AM21" s="17">
        <f>SUM($D$20:AM$20)</f>
        <v>0</v>
      </c>
      <c r="AN21" s="17">
        <f>SUM($D$20:AN$20)</f>
        <v>0</v>
      </c>
      <c r="AO21" s="17">
        <f>SUM($D$20:AO$20)</f>
        <v>0</v>
      </c>
      <c r="AP21" s="17">
        <f>SUM($D$20:AP$20)</f>
        <v>0</v>
      </c>
      <c r="AQ21" s="17">
        <f>SUM($D$20:AQ$20)</f>
        <v>0</v>
      </c>
      <c r="AR21" s="17">
        <f>SUM($D$20:AR$20)</f>
        <v>0</v>
      </c>
      <c r="AS21" s="17">
        <f>SUM($D$20:AS$20)</f>
        <v>0</v>
      </c>
      <c r="AT21" s="17">
        <f>SUM($D$20:AT$20)</f>
        <v>0</v>
      </c>
      <c r="AU21" s="17">
        <f>SUM($D$20:AU$20)</f>
        <v>0</v>
      </c>
      <c r="AV21" s="17">
        <f>SUM($D$20:AV$20)</f>
        <v>0</v>
      </c>
      <c r="AW21" s="17">
        <f>SUM($D$20:AW$20)</f>
        <v>0</v>
      </c>
      <c r="AX21" s="17">
        <f>SUM($D$20:AX$20)</f>
        <v>0</v>
      </c>
      <c r="AY21" s="17">
        <f>SUM($D$20:AY$20)</f>
        <v>0</v>
      </c>
      <c r="AZ21" s="17">
        <f>SUM($D$20:AZ$20)</f>
        <v>0</v>
      </c>
      <c r="BA21" s="17">
        <f>SUM($D$20:BA$20)</f>
        <v>0</v>
      </c>
      <c r="BB21" s="17">
        <f>SUM($D$20:BB$20)</f>
        <v>0</v>
      </c>
      <c r="BC21" s="17">
        <f>SUM($D$20:BC$20)</f>
        <v>0</v>
      </c>
      <c r="BD21" s="17">
        <f>SUM($D$20:BD$20)</f>
        <v>0</v>
      </c>
      <c r="BE21" s="17">
        <f>SUM($D$20:BE$20)</f>
        <v>0</v>
      </c>
      <c r="BF21" s="17">
        <f>SUM($D$20:BF$20)</f>
        <v>0</v>
      </c>
      <c r="BG21" s="32">
        <f>SUM($D$20:BG$20)</f>
        <v>0</v>
      </c>
    </row>
    <row r="22" spans="2:59" s="3" customFormat="1" x14ac:dyDescent="0.3">
      <c r="B22" s="30" t="s">
        <v>281</v>
      </c>
      <c r="C22" s="11"/>
      <c r="D22" s="11"/>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31"/>
    </row>
    <row r="23" spans="2:59" s="3" customFormat="1" x14ac:dyDescent="0.3">
      <c r="B23" s="26" t="s">
        <v>277</v>
      </c>
      <c r="C23" s="7" t="s">
        <v>172</v>
      </c>
      <c r="D23" s="16">
        <f>IF(AND(--RIGHT(D$9,2)&gt;=(--RIGHT(Emissions!$E$10,2)),--RIGHT(D$9,2)&lt;(--RIGHT(Emissions!$E$10,2)+Emissions!$E$11)),ProjAbate[[#Totals],[FY24/25]]*Parameters!E$36,0)</f>
        <v>0</v>
      </c>
      <c r="E23" s="16">
        <f>IF(AND(--RIGHT(E$9,2)&gt;=(--RIGHT(Emissions!$E$10,2)),--RIGHT(E$9,2)&lt;(--RIGHT(Emissions!$E$10,2)+Emissions!$E$11)),ProjAbate[[#Totals],[FY25/26]]*Parameters!F$36,0)</f>
        <v>0</v>
      </c>
      <c r="F23" s="16">
        <f>IF(AND(--RIGHT(F$9,2)&gt;=(--RIGHT(Emissions!$E$10,2)),--RIGHT(F$9,2)&lt;(--RIGHT(Emissions!$E$10,2)+Emissions!$E$11)),ProjAbate[[#Totals],[FY26/27]]*Parameters!G$36,0)</f>
        <v>0</v>
      </c>
      <c r="G23" s="16">
        <f>IF(AND(--RIGHT(G$9,2)&gt;=(--RIGHT(Emissions!$E$10,2)),--RIGHT(G$9,2)&lt;(--RIGHT(Emissions!$E$10,2)+Emissions!$E$11)),ProjAbate[[#Totals],[FY27/28]]*Parameters!H$36,0)</f>
        <v>0</v>
      </c>
      <c r="H23" s="16">
        <f>IF(AND(--RIGHT(H$9,2)&gt;=(--RIGHT(Emissions!$E$10,2)),--RIGHT(H$9,2)&lt;(--RIGHT(Emissions!$E$10,2)+Emissions!$E$11)),ProjAbate[[#Totals],[FY28/29]]*Parameters!I$36,0)</f>
        <v>0</v>
      </c>
      <c r="I23" s="16">
        <f>IF(AND(--RIGHT(I$9,2)&gt;=(--RIGHT(Emissions!$E$10,2)),--RIGHT(I$9,2)&lt;(--RIGHT(Emissions!$E$10,2)+Emissions!$E$11)),ProjAbate[[#Totals],[FY29/30]]*Parameters!J$36,0)</f>
        <v>0</v>
      </c>
      <c r="J23" s="16">
        <f>IF(AND(--RIGHT(J$9,2)&gt;=(--RIGHT(Emissions!$E$10,2)),--RIGHT(J$9,2)&lt;(--RIGHT(Emissions!$E$10,2)+Emissions!$E$11)),ProjAbate[[#Totals],[FY30/31]]*Parameters!K$36,0)</f>
        <v>0</v>
      </c>
      <c r="K23" s="16">
        <f>IF(AND(--RIGHT(K$9,2)&gt;=(--RIGHT(Emissions!$E$10,2)),--RIGHT(K$9,2)&lt;(--RIGHT(Emissions!$E$10,2)+Emissions!$E$11)),ProjAbate[[#Totals],[FY31/32]]*Parameters!L$36,0)</f>
        <v>0</v>
      </c>
      <c r="L23" s="16">
        <f>IF(AND(--RIGHT(L$9,2)&gt;=(--RIGHT(Emissions!$E$10,2)),--RIGHT(L$9,2)&lt;(--RIGHT(Emissions!$E$10,2)+Emissions!$E$11)),ProjAbate[[#Totals],[FY32/33]]*Parameters!M$36,0)</f>
        <v>0</v>
      </c>
      <c r="M23" s="16">
        <f>IF(AND(--RIGHT(M$9,2)&gt;=(--RIGHT(Emissions!$E$10,2)),--RIGHT(M$9,2)&lt;(--RIGHT(Emissions!$E$10,2)+Emissions!$E$11)),ProjAbate[[#Totals],[FY33/34]]*Parameters!N$36,0)</f>
        <v>0</v>
      </c>
      <c r="N23" s="16">
        <f>IF(AND(--RIGHT(N$9,2)&gt;=(--RIGHT(Emissions!$E$10,2)),--RIGHT(N$9,2)&lt;(--RIGHT(Emissions!$E$10,2)+Emissions!$E$11)),ProjAbate[[#Totals],[FY34/35]]*Parameters!O$36,0)</f>
        <v>0</v>
      </c>
      <c r="O23" s="16">
        <f>IF(AND(--RIGHT(O$9,2)&gt;=(--RIGHT(Emissions!$E$10,2)),--RIGHT(O$9,2)&lt;(--RIGHT(Emissions!$E$10,2)+Emissions!$E$11)),ProjAbate[[#Totals],[FY35/36]]*Parameters!P$36,0)</f>
        <v>0</v>
      </c>
      <c r="P23" s="16">
        <f>IF(AND(--RIGHT(P$9,2)&gt;=(--RIGHT(Emissions!$E$10,2)),--RIGHT(P$9,2)&lt;(--RIGHT(Emissions!$E$10,2)+Emissions!$E$11)),ProjAbate[[#Totals],[FY36/37]]*Parameters!Q$36,0)</f>
        <v>0</v>
      </c>
      <c r="Q23" s="16">
        <f>IF(AND(--RIGHT(Q$9,2)&gt;=(--RIGHT(Emissions!$E$10,2)),--RIGHT(Q$9,2)&lt;(--RIGHT(Emissions!$E$10,2)+Emissions!$E$11)),ProjAbate[[#Totals],[FY37/38]]*Parameters!R$36,0)</f>
        <v>0</v>
      </c>
      <c r="R23" s="16">
        <f>IF(AND(--RIGHT(R$9,2)&gt;=(--RIGHT(Emissions!$E$10,2)),--RIGHT(R$9,2)&lt;(--RIGHT(Emissions!$E$10,2)+Emissions!$E$11)),ProjAbate[[#Totals],[FY38/39]]*Parameters!S$36,0)</f>
        <v>0</v>
      </c>
      <c r="S23" s="16">
        <f>IF(AND(--RIGHT(S$9,2)&gt;=(--RIGHT(Emissions!$E$10,2)),--RIGHT(S$9,2)&lt;(--RIGHT(Emissions!$E$10,2)+Emissions!$E$11)),ProjAbate[[#Totals],[FY39/40]]*Parameters!T$36,0)</f>
        <v>0</v>
      </c>
      <c r="T23" s="16">
        <f>IF(AND(--RIGHT(T$9,2)&gt;=(--RIGHT(Emissions!$E$10,2)),--RIGHT(T$9,2)&lt;(--RIGHT(Emissions!$E$10,2)+Emissions!$E$11)),ProjAbate[[#Totals],[FY40/41]]*Parameters!U$36,0)</f>
        <v>0</v>
      </c>
      <c r="U23" s="16">
        <f>IF(AND(--RIGHT(U$9,2)&gt;=(--RIGHT(Emissions!$E$10,2)),--RIGHT(U$9,2)&lt;(--RIGHT(Emissions!$E$10,2)+Emissions!$E$11)),ProjAbate[[#Totals],[FY41/42]]*Parameters!V$36,0)</f>
        <v>0</v>
      </c>
      <c r="V23" s="16">
        <f>IF(AND(--RIGHT(V$9,2)&gt;=(--RIGHT(Emissions!$E$10,2)),--RIGHT(V$9,2)&lt;(--RIGHT(Emissions!$E$10,2)+Emissions!$E$11)),ProjAbate[[#Totals],[FY42/43]]*Parameters!W$36,0)</f>
        <v>0</v>
      </c>
      <c r="W23" s="16">
        <f>IF(AND(--RIGHT(W$9,2)&gt;=(--RIGHT(Emissions!$E$10,2)),--RIGHT(W$9,2)&lt;(--RIGHT(Emissions!$E$10,2)+Emissions!$E$11)),ProjAbate[[#Totals],[FY43/44]]*Parameters!X$36,0)</f>
        <v>0</v>
      </c>
      <c r="X23" s="16">
        <f>IF(AND(--RIGHT(X$9,2)&gt;=(--RIGHT(Emissions!$E$10,2)),--RIGHT(X$9,2)&lt;(--RIGHT(Emissions!$E$10,2)+Emissions!$E$11)),ProjAbate[[#Totals],[FY44/45]]*Parameters!Y$36,0)</f>
        <v>0</v>
      </c>
      <c r="Y23" s="16">
        <f>IF(AND(--RIGHT(Y$9,2)&gt;=(--RIGHT(Emissions!$E$10,2)),--RIGHT(Y$9,2)&lt;(--RIGHT(Emissions!$E$10,2)+Emissions!$E$11)),ProjAbate[[#Totals],[FY45/46]]*Parameters!Z$36,0)</f>
        <v>0</v>
      </c>
      <c r="Z23" s="16">
        <f>IF(AND(--RIGHT(Z$9,2)&gt;=(--RIGHT(Emissions!$E$10,2)),--RIGHT(Z$9,2)&lt;(--RIGHT(Emissions!$E$10,2)+Emissions!$E$11)),ProjAbate[[#Totals],[FY46/47]]*Parameters!AA$36,0)</f>
        <v>0</v>
      </c>
      <c r="AA23" s="16">
        <f>IF(AND(--RIGHT(AA$9,2)&gt;=(--RIGHT(Emissions!$E$10,2)),--RIGHT(AA$9,2)&lt;(--RIGHT(Emissions!$E$10,2)+Emissions!$E$11)),ProjAbate[[#Totals],[FY47/48]]*Parameters!AB$36,0)</f>
        <v>0</v>
      </c>
      <c r="AB23" s="16">
        <f>IF(AND(--RIGHT(AB$9,2)&gt;=(--RIGHT(Emissions!$E$10,2)),--RIGHT(AB$9,2)&lt;(--RIGHT(Emissions!$E$10,2)+Emissions!$E$11)),ProjAbate[[#Totals],[FY48/49]]*Parameters!AC$36,0)</f>
        <v>0</v>
      </c>
      <c r="AC23" s="16">
        <f>IF(AND(--RIGHT(AC$9,2)&gt;=(--RIGHT(Emissions!$E$10,2)),--RIGHT(AC$9,2)&lt;(--RIGHT(Emissions!$E$10,2)+Emissions!$E$11)),ProjAbate[[#Totals],[FY49/50]]*Parameters!AD$36,0)</f>
        <v>0</v>
      </c>
      <c r="AD23" s="16">
        <f>IF(AND(--RIGHT(AD$9,2)&gt;=(--RIGHT(Emissions!$E$10,2)),--RIGHT(AD$9,2)&lt;(--RIGHT(Emissions!$E$10,2)+Emissions!$E$11)),ProjAbate[[#Totals],[FY50/51]]*Parameters!AE$36,0)</f>
        <v>0</v>
      </c>
      <c r="AE23" s="16">
        <f>IF(AND(--RIGHT(AE$9,2)&gt;=(--RIGHT(Emissions!$E$10,2)),--RIGHT(AE$9,2)&lt;(--RIGHT(Emissions!$E$10,2)+Emissions!$E$11)),ProjAbate[[#Totals],[FY51/52]]*Parameters!AF$36,0)</f>
        <v>0</v>
      </c>
      <c r="AF23" s="16">
        <f>IF(AND(--RIGHT(AF$9,2)&gt;=(--RIGHT(Emissions!$E$10,2)),--RIGHT(AF$9,2)&lt;(--RIGHT(Emissions!$E$10,2)+Emissions!$E$11)),ProjAbate[[#Totals],[FY52/53]]*Parameters!AG$36,0)</f>
        <v>0</v>
      </c>
      <c r="AG23" s="16">
        <f>IF(AND(--RIGHT(AG$9,2)&gt;=(--RIGHT(Emissions!$E$10,2)),--RIGHT(AG$9,2)&lt;(--RIGHT(Emissions!$E$10,2)+Emissions!$E$11)),ProjAbate[[#Totals],[FY53/54]]*Parameters!AH$36,0)</f>
        <v>0</v>
      </c>
      <c r="AH23" s="16">
        <f>IF(AND(--RIGHT(AH$9,2)&gt;=(--RIGHT(Emissions!$E$10,2)),--RIGHT(AH$9,2)&lt;(--RIGHT(Emissions!$E$10,2)+Emissions!$E$11)),ProjAbate[[#Totals],[FY54/55]]*Parameters!AI$36,0)</f>
        <v>0</v>
      </c>
      <c r="AI23" s="16">
        <f>IF(AND(--RIGHT(AI$9,2)&gt;=(--RIGHT(Emissions!$E$10,2)),--RIGHT(AI$9,2)&lt;(--RIGHT(Emissions!$E$10,2)+Emissions!$E$11)),ProjAbate[[#Totals],[FY55/56]]*Parameters!AJ$36,0)</f>
        <v>0</v>
      </c>
      <c r="AJ23" s="16">
        <f>IF(AND(--RIGHT(AJ$9,2)&gt;=(--RIGHT(Emissions!$E$10,2)),--RIGHT(AJ$9,2)&lt;(--RIGHT(Emissions!$E$10,2)+Emissions!$E$11)),ProjAbate[[#Totals],[FY56/57]]*Parameters!AK$36,0)</f>
        <v>0</v>
      </c>
      <c r="AK23" s="16">
        <f>IF(AND(--RIGHT(AK$9,2)&gt;=(--RIGHT(Emissions!$E$10,2)),--RIGHT(AK$9,2)&lt;(--RIGHT(Emissions!$E$10,2)+Emissions!$E$11)),ProjAbate[[#Totals],[FY57/58]]*Parameters!AL$36,0)</f>
        <v>0</v>
      </c>
      <c r="AL23" s="16">
        <f>IF(AND(--RIGHT(AL$9,2)&gt;=(--RIGHT(Emissions!$E$10,2)),--RIGHT(AL$9,2)&lt;(--RIGHT(Emissions!$E$10,2)+Emissions!$E$11)),ProjAbate[[#Totals],[FY58/59]]*Parameters!AM$36,0)</f>
        <v>0</v>
      </c>
      <c r="AM23" s="16">
        <f>IF(AND(--RIGHT(AM$9,2)&gt;=(--RIGHT(Emissions!$E$10,2)),--RIGHT(AM$9,2)&lt;(--RIGHT(Emissions!$E$10,2)+Emissions!$E$11)),ProjAbate[[#Totals],[FY59/60]]*Parameters!AN$36,0)</f>
        <v>0</v>
      </c>
      <c r="AN23" s="16">
        <f>IF(AND(--RIGHT(AN$9,2)&gt;=(--RIGHT(Emissions!$E$10,2)),--RIGHT(AN$9,2)&lt;(--RIGHT(Emissions!$E$10,2)+Emissions!$E$11)),ProjAbate[[#Totals],[FY60/61]]*Parameters!AO$36,0)</f>
        <v>0</v>
      </c>
      <c r="AO23" s="16">
        <f>IF(AND(--RIGHT(AO$9,2)&gt;=(--RIGHT(Emissions!$E$10,2)),--RIGHT(AO$9,2)&lt;(--RIGHT(Emissions!$E$10,2)+Emissions!$E$11)),ProjAbate[[#Totals],[FY61/62]]*Parameters!AP$36,0)</f>
        <v>0</v>
      </c>
      <c r="AP23" s="16">
        <f>IF(AND(--RIGHT(AP$9,2)&gt;=(--RIGHT(Emissions!$E$10,2)),--RIGHT(AP$9,2)&lt;(--RIGHT(Emissions!$E$10,2)+Emissions!$E$11)),ProjAbate[[#Totals],[FY62/63]]*Parameters!AQ$36,0)</f>
        <v>0</v>
      </c>
      <c r="AQ23" s="16">
        <f>IF(AND(--RIGHT(AQ$9,2)&gt;=(--RIGHT(Emissions!$E$10,2)),--RIGHT(AQ$9,2)&lt;(--RIGHT(Emissions!$E$10,2)+Emissions!$E$11)),ProjAbate[[#Totals],[FY63/64]]*Parameters!AR$36,0)</f>
        <v>0</v>
      </c>
      <c r="AR23" s="16">
        <f>IF(AND(--RIGHT(AR$9,2)&gt;=(--RIGHT(Emissions!$E$10,2)),--RIGHT(AR$9,2)&lt;(--RIGHT(Emissions!$E$10,2)+Emissions!$E$11)),ProjAbate[[#Totals],[FY64/65]]*Parameters!AS$36,0)</f>
        <v>0</v>
      </c>
      <c r="AS23" s="16">
        <f>IF(AND(--RIGHT(AS$9,2)&gt;=(--RIGHT(Emissions!$E$10,2)),--RIGHT(AS$9,2)&lt;(--RIGHT(Emissions!$E$10,2)+Emissions!$E$11)),ProjAbate[[#Totals],[FY65/66]]*Parameters!AT$36,0)</f>
        <v>0</v>
      </c>
      <c r="AT23" s="16">
        <f>IF(AND(--RIGHT(AT$9,2)&gt;=(--RIGHT(Emissions!$E$10,2)),--RIGHT(AT$9,2)&lt;(--RIGHT(Emissions!$E$10,2)+Emissions!$E$11)),ProjAbate[[#Totals],[FY66/67]]*Parameters!AU$36,0)</f>
        <v>0</v>
      </c>
      <c r="AU23" s="16">
        <f>IF(AND(--RIGHT(AU$9,2)&gt;=(--RIGHT(Emissions!$E$10,2)),--RIGHT(AU$9,2)&lt;(--RIGHT(Emissions!$E$10,2)+Emissions!$E$11)),ProjAbate[[#Totals],[FY67/68]]*Parameters!AV$36,0)</f>
        <v>0</v>
      </c>
      <c r="AV23" s="16">
        <f>IF(AND(--RIGHT(AV$9,2)&gt;=(--RIGHT(Emissions!$E$10,2)),--RIGHT(AV$9,2)&lt;(--RIGHT(Emissions!$E$10,2)+Emissions!$E$11)),ProjAbate[[#Totals],[FY68/69]]*Parameters!AW$36,0)</f>
        <v>0</v>
      </c>
      <c r="AW23" s="16">
        <f>IF(AND(--RIGHT(AW$9,2)&gt;=(--RIGHT(Emissions!$E$10,2)),--RIGHT(AW$9,2)&lt;(--RIGHT(Emissions!$E$10,2)+Emissions!$E$11)),ProjAbate[[#Totals],[FY69/70]]*Parameters!AX$36,0)</f>
        <v>0</v>
      </c>
      <c r="AX23" s="16">
        <f>IF(AND(--RIGHT(AX$9,2)&gt;=(--RIGHT(Emissions!$E$10,2)),--RIGHT(AX$9,2)&lt;(--RIGHT(Emissions!$E$10,2)+Emissions!$E$11)),ProjAbate[[#Totals],[FY70/71]]*Parameters!AY$36,0)</f>
        <v>0</v>
      </c>
      <c r="AY23" s="16">
        <f>IF(AND(--RIGHT(AY$9,2)&gt;=(--RIGHT(Emissions!$E$10,2)),--RIGHT(AY$9,2)&lt;(--RIGHT(Emissions!$E$10,2)+Emissions!$E$11)),ProjAbate[[#Totals],[FY71/72]]*Parameters!AZ$36,0)</f>
        <v>0</v>
      </c>
      <c r="AZ23" s="16">
        <f>IF(AND(--RIGHT(AZ$9,2)&gt;=(--RIGHT(Emissions!$E$10,2)),--RIGHT(AZ$9,2)&lt;(--RIGHT(Emissions!$E$10,2)+Emissions!$E$11)),ProjAbate[[#Totals],[FY72/73]]*Parameters!BA$36,0)</f>
        <v>0</v>
      </c>
      <c r="BA23" s="16">
        <f>IF(AND(--RIGHT(BA$9,2)&gt;=(--RIGHT(Emissions!$E$10,2)),--RIGHT(BA$9,2)&lt;(--RIGHT(Emissions!$E$10,2)+Emissions!$E$11)),ProjAbate[[#Totals],[FY73/74]]*Parameters!BB$36,0)</f>
        <v>0</v>
      </c>
      <c r="BB23" s="16">
        <f>IF(AND(--RIGHT(BB$9,2)&gt;=(--RIGHT(Emissions!$E$10,2)),--RIGHT(BB$9,2)&lt;(--RIGHT(Emissions!$E$10,2)+Emissions!$E$11)),ProjAbate[[#Totals],[FY74/75]]*Parameters!BC$36,0)</f>
        <v>0</v>
      </c>
      <c r="BC23" s="16">
        <f>IF(AND(--RIGHT(BC$9,2)&gt;=(--RIGHT(Emissions!$E$10,2)),--RIGHT(BC$9,2)&lt;(--RIGHT(Emissions!$E$10,2)+Emissions!$E$11)),ProjAbate[[#Totals],[FY75/76]]*Parameters!BD$36,0)</f>
        <v>0</v>
      </c>
      <c r="BD23" s="16">
        <f>IF(AND(--RIGHT(BD$9,2)&gt;=(--RIGHT(Emissions!$E$10,2)),--RIGHT(BD$9,2)&lt;(--RIGHT(Emissions!$E$10,2)+Emissions!$E$11)),ProjAbate[[#Totals],[FY76/77]]*Parameters!BE$36,0)</f>
        <v>0</v>
      </c>
      <c r="BE23" s="16">
        <f>IF(AND(--RIGHT(BE$9,2)&gt;=(--RIGHT(Emissions!$E$10,2)),--RIGHT(BE$9,2)&lt;(--RIGHT(Emissions!$E$10,2)+Emissions!$E$11)),ProjAbate[[#Totals],[FY77/78]]*Parameters!BF$36,0)</f>
        <v>0</v>
      </c>
      <c r="BF23" s="16">
        <f>IF(AND(--RIGHT(BF$9,2)&gt;=(--RIGHT(Emissions!$E$10,2)),--RIGHT(BF$9,2)&lt;(--RIGHT(Emissions!$E$10,2)+Emissions!$E$11)),ProjAbate[[#Totals],[FY78/79]]*Parameters!BG$36,0)</f>
        <v>0</v>
      </c>
      <c r="BG23" s="27">
        <f>IF(AND(--RIGHT(BG$9,2)&gt;=(--RIGHT(Emissions!$E$10,2)),--RIGHT(BG$9,2)&lt;(--RIGHT(Emissions!$E$10,2)+Emissions!$E$11)),ProjAbate[[#Totals],[FY79/80]]*Parameters!BH$36,0)</f>
        <v>0</v>
      </c>
    </row>
    <row r="24" spans="2:59" s="3" customFormat="1" x14ac:dyDescent="0.3">
      <c r="B24" s="26" t="s">
        <v>278</v>
      </c>
      <c r="C24" s="7" t="s">
        <v>172</v>
      </c>
      <c r="D24" s="16">
        <f>IF(AND(--RIGHT(D$9,2)&gt;=(--RIGHT(Emissions!$E$10,2)),--RIGHT(D$9,2)&lt;(--RIGHT(Emissions!$E$10,2)+Emissions!$E$11)),D$23-Finance!E$29,0)</f>
        <v>0</v>
      </c>
      <c r="E24" s="16">
        <f>IF(AND(--RIGHT(E$9,2)&gt;=(--RIGHT(Emissions!$E$10,2)),--RIGHT(E$9,2)&lt;(--RIGHT(Emissions!$E$10,2)+Emissions!$E$11)),E$23-Finance!F$29,0)</f>
        <v>0</v>
      </c>
      <c r="F24" s="16">
        <f>IF(AND(--RIGHT(F$9,2)&gt;=(--RIGHT(Emissions!$E$10,2)),--RIGHT(F$9,2)&lt;(--RIGHT(Emissions!$E$10,2)+Emissions!$E$11)),F$23-Finance!G$29,0)</f>
        <v>0</v>
      </c>
      <c r="G24" s="16">
        <f>IF(AND(--RIGHT(G$9,2)&gt;=(--RIGHT(Emissions!$E$10,2)),--RIGHT(G$9,2)&lt;(--RIGHT(Emissions!$E$10,2)+Emissions!$E$11)),G$23-Finance!H$29,0)</f>
        <v>0</v>
      </c>
      <c r="H24" s="16">
        <f>IF(AND(--RIGHT(H$9,2)&gt;=(--RIGHT(Emissions!$E$10,2)),--RIGHT(H$9,2)&lt;(--RIGHT(Emissions!$E$10,2)+Emissions!$E$11)),H$23-Finance!I$29,0)</f>
        <v>0</v>
      </c>
      <c r="I24" s="16">
        <f>IF(AND(--RIGHT(I$9,2)&gt;=(--RIGHT(Emissions!$E$10,2)),--RIGHT(I$9,2)&lt;(--RIGHT(Emissions!$E$10,2)+Emissions!$E$11)),I$23-Finance!J$29,0)</f>
        <v>0</v>
      </c>
      <c r="J24" s="16">
        <f>IF(AND(--RIGHT(J$9,2)&gt;=(--RIGHT(Emissions!$E$10,2)),--RIGHT(J$9,2)&lt;(--RIGHT(Emissions!$E$10,2)+Emissions!$E$11)),J$23-Finance!K$29,0)</f>
        <v>0</v>
      </c>
      <c r="K24" s="16">
        <f>IF(AND(--RIGHT(K$9,2)&gt;=(--RIGHT(Emissions!$E$10,2)),--RIGHT(K$9,2)&lt;(--RIGHT(Emissions!$E$10,2)+Emissions!$E$11)),K$23-Finance!L$29,0)</f>
        <v>0</v>
      </c>
      <c r="L24" s="16">
        <f>IF(AND(--RIGHT(L$9,2)&gt;=(--RIGHT(Emissions!$E$10,2)),--RIGHT(L$9,2)&lt;(--RIGHT(Emissions!$E$10,2)+Emissions!$E$11)),L$23-Finance!M$29,0)</f>
        <v>0</v>
      </c>
      <c r="M24" s="16">
        <f>IF(AND(--RIGHT(M$9,2)&gt;=(--RIGHT(Emissions!$E$10,2)),--RIGHT(M$9,2)&lt;(--RIGHT(Emissions!$E$10,2)+Emissions!$E$11)),M$23-Finance!N$29,0)</f>
        <v>0</v>
      </c>
      <c r="N24" s="16">
        <f>IF(AND(--RIGHT(N$9,2)&gt;=(--RIGHT(Emissions!$E$10,2)),--RIGHT(N$9,2)&lt;(--RIGHT(Emissions!$E$10,2)+Emissions!$E$11)),N$23-Finance!O$29,0)</f>
        <v>0</v>
      </c>
      <c r="O24" s="16">
        <f>IF(AND(--RIGHT(O$9,2)&gt;=(--RIGHT(Emissions!$E$10,2)),--RIGHT(O$9,2)&lt;(--RIGHT(Emissions!$E$10,2)+Emissions!$E$11)),O$23-Finance!P$29,0)</f>
        <v>0</v>
      </c>
      <c r="P24" s="16">
        <f>IF(AND(--RIGHT(P$9,2)&gt;=(--RIGHT(Emissions!$E$10,2)),--RIGHT(P$9,2)&lt;(--RIGHT(Emissions!$E$10,2)+Emissions!$E$11)),P$23-Finance!Q$29,0)</f>
        <v>0</v>
      </c>
      <c r="Q24" s="16">
        <f>IF(AND(--RIGHT(Q$9,2)&gt;=(--RIGHT(Emissions!$E$10,2)),--RIGHT(Q$9,2)&lt;(--RIGHT(Emissions!$E$10,2)+Emissions!$E$11)),Q$23-Finance!R$29,0)</f>
        <v>0</v>
      </c>
      <c r="R24" s="16">
        <f>IF(AND(--RIGHT(R$9,2)&gt;=(--RIGHT(Emissions!$E$10,2)),--RIGHT(R$9,2)&lt;(--RIGHT(Emissions!$E$10,2)+Emissions!$E$11)),R$23-Finance!S$29,0)</f>
        <v>0</v>
      </c>
      <c r="S24" s="16">
        <f>IF(AND(--RIGHT(S$9,2)&gt;=(--RIGHT(Emissions!$E$10,2)),--RIGHT(S$9,2)&lt;(--RIGHT(Emissions!$E$10,2)+Emissions!$E$11)),S$23-Finance!T$29,0)</f>
        <v>0</v>
      </c>
      <c r="T24" s="16">
        <f>IF(AND(--RIGHT(T$9,2)&gt;=(--RIGHT(Emissions!$E$10,2)),--RIGHT(T$9,2)&lt;(--RIGHT(Emissions!$E$10,2)+Emissions!$E$11)),T$23-Finance!U$29,0)</f>
        <v>0</v>
      </c>
      <c r="U24" s="16">
        <f>IF(AND(--RIGHT(U$9,2)&gt;=(--RIGHT(Emissions!$E$10,2)),--RIGHT(U$9,2)&lt;(--RIGHT(Emissions!$E$10,2)+Emissions!$E$11)),U$23-Finance!V$29,0)</f>
        <v>0</v>
      </c>
      <c r="V24" s="16">
        <f>IF(AND(--RIGHT(V$9,2)&gt;=(--RIGHT(Emissions!$E$10,2)),--RIGHT(V$9,2)&lt;(--RIGHT(Emissions!$E$10,2)+Emissions!$E$11)),V$23-Finance!W$29,0)</f>
        <v>0</v>
      </c>
      <c r="W24" s="16">
        <f>IF(AND(--RIGHT(W$9,2)&gt;=(--RIGHT(Emissions!$E$10,2)),--RIGHT(W$9,2)&lt;(--RIGHT(Emissions!$E$10,2)+Emissions!$E$11)),W$23-Finance!X$29,0)</f>
        <v>0</v>
      </c>
      <c r="X24" s="16">
        <f>IF(AND(--RIGHT(X$9,2)&gt;=(--RIGHT(Emissions!$E$10,2)),--RIGHT(X$9,2)&lt;(--RIGHT(Emissions!$E$10,2)+Emissions!$E$11)),X$23-Finance!Y$29,0)</f>
        <v>0</v>
      </c>
      <c r="Y24" s="16">
        <f>IF(AND(--RIGHT(Y$9,2)&gt;=(--RIGHT(Emissions!$E$10,2)),--RIGHT(Y$9,2)&lt;(--RIGHT(Emissions!$E$10,2)+Emissions!$E$11)),Y$23-Finance!Z$29,0)</f>
        <v>0</v>
      </c>
      <c r="Z24" s="16">
        <f>IF(AND(--RIGHT(Z$9,2)&gt;=(--RIGHT(Emissions!$E$10,2)),--RIGHT(Z$9,2)&lt;(--RIGHT(Emissions!$E$10,2)+Emissions!$E$11)),Z$23-Finance!AA$29,0)</f>
        <v>0</v>
      </c>
      <c r="AA24" s="16">
        <f>IF(AND(--RIGHT(AA$9,2)&gt;=(--RIGHT(Emissions!$E$10,2)),--RIGHT(AA$9,2)&lt;(--RIGHT(Emissions!$E$10,2)+Emissions!$E$11)),AA$23-Finance!AB$29,0)</f>
        <v>0</v>
      </c>
      <c r="AB24" s="16">
        <f>IF(AND(--RIGHT(AB$9,2)&gt;=(--RIGHT(Emissions!$E$10,2)),--RIGHT(AB$9,2)&lt;(--RIGHT(Emissions!$E$10,2)+Emissions!$E$11)),AB$23-Finance!AC$29,0)</f>
        <v>0</v>
      </c>
      <c r="AC24" s="16">
        <f>IF(AND(--RIGHT(AC$9,2)&gt;=(--RIGHT(Emissions!$E$10,2)),--RIGHT(AC$9,2)&lt;(--RIGHT(Emissions!$E$10,2)+Emissions!$E$11)),AC$23-Finance!AD$29,0)</f>
        <v>0</v>
      </c>
      <c r="AD24" s="16">
        <f>IF(AND(--RIGHT(AD$9,2)&gt;=(--RIGHT(Emissions!$E$10,2)),--RIGHT(AD$9,2)&lt;(--RIGHT(Emissions!$E$10,2)+Emissions!$E$11)),AD$23-Finance!AE$29,0)</f>
        <v>0</v>
      </c>
      <c r="AE24" s="16">
        <f>IF(AND(--RIGHT(AE$9,2)&gt;=(--RIGHT(Emissions!$E$10,2)),--RIGHT(AE$9,2)&lt;(--RIGHT(Emissions!$E$10,2)+Emissions!$E$11)),AE$23-Finance!AF$29,0)</f>
        <v>0</v>
      </c>
      <c r="AF24" s="16">
        <f>IF(AND(--RIGHT(AF$9,2)&gt;=(--RIGHT(Emissions!$E$10,2)),--RIGHT(AF$9,2)&lt;(--RIGHT(Emissions!$E$10,2)+Emissions!$E$11)),AF$23-Finance!AG$29,0)</f>
        <v>0</v>
      </c>
      <c r="AG24" s="16">
        <f>IF(AND(--RIGHT(AG$9,2)&gt;=(--RIGHT(Emissions!$E$10,2)),--RIGHT(AG$9,2)&lt;(--RIGHT(Emissions!$E$10,2)+Emissions!$E$11)),AG$23-Finance!AH$29,0)</f>
        <v>0</v>
      </c>
      <c r="AH24" s="16">
        <f>IF(AND(--RIGHT(AH$9,2)&gt;=(--RIGHT(Emissions!$E$10,2)),--RIGHT(AH$9,2)&lt;(--RIGHT(Emissions!$E$10,2)+Emissions!$E$11)),AH$23-Finance!AI$29,0)</f>
        <v>0</v>
      </c>
      <c r="AI24" s="16">
        <f>IF(AND(--RIGHT(AI$9,2)&gt;=(--RIGHT(Emissions!$E$10,2)),--RIGHT(AI$9,2)&lt;(--RIGHT(Emissions!$E$10,2)+Emissions!$E$11)),AI$23-Finance!AJ$29,0)</f>
        <v>0</v>
      </c>
      <c r="AJ24" s="16">
        <f>IF(AND(--RIGHT(AJ$9,2)&gt;=(--RIGHT(Emissions!$E$10,2)),--RIGHT(AJ$9,2)&lt;(--RIGHT(Emissions!$E$10,2)+Emissions!$E$11)),AJ$23-Finance!AK$29,0)</f>
        <v>0</v>
      </c>
      <c r="AK24" s="16">
        <f>IF(AND(--RIGHT(AK$9,2)&gt;=(--RIGHT(Emissions!$E$10,2)),--RIGHT(AK$9,2)&lt;(--RIGHT(Emissions!$E$10,2)+Emissions!$E$11)),AK$23-Finance!AL$29,0)</f>
        <v>0</v>
      </c>
      <c r="AL24" s="16">
        <f>IF(AND(--RIGHT(AL$9,2)&gt;=(--RIGHT(Emissions!$E$10,2)),--RIGHT(AL$9,2)&lt;(--RIGHT(Emissions!$E$10,2)+Emissions!$E$11)),AL$23-Finance!AM$29,0)</f>
        <v>0</v>
      </c>
      <c r="AM24" s="16">
        <f>IF(AND(--RIGHT(AM$9,2)&gt;=(--RIGHT(Emissions!$E$10,2)),--RIGHT(AM$9,2)&lt;(--RIGHT(Emissions!$E$10,2)+Emissions!$E$11)),AM$23-Finance!AN$29,0)</f>
        <v>0</v>
      </c>
      <c r="AN24" s="16">
        <f>IF(AND(--RIGHT(AN$9,2)&gt;=(--RIGHT(Emissions!$E$10,2)),--RIGHT(AN$9,2)&lt;(--RIGHT(Emissions!$E$10,2)+Emissions!$E$11)),AN$23-Finance!AO$29,0)</f>
        <v>0</v>
      </c>
      <c r="AO24" s="16">
        <f>IF(AND(--RIGHT(AO$9,2)&gt;=(--RIGHT(Emissions!$E$10,2)),--RIGHT(AO$9,2)&lt;(--RIGHT(Emissions!$E$10,2)+Emissions!$E$11)),AO$23-Finance!AP$29,0)</f>
        <v>0</v>
      </c>
      <c r="AP24" s="16">
        <f>IF(AND(--RIGHT(AP$9,2)&gt;=(--RIGHT(Emissions!$E$10,2)),--RIGHT(AP$9,2)&lt;(--RIGHT(Emissions!$E$10,2)+Emissions!$E$11)),AP$23-Finance!AQ$29,0)</f>
        <v>0</v>
      </c>
      <c r="AQ24" s="16">
        <f>IF(AND(--RIGHT(AQ$9,2)&gt;=(--RIGHT(Emissions!$E$10,2)),--RIGHT(AQ$9,2)&lt;(--RIGHT(Emissions!$E$10,2)+Emissions!$E$11)),AQ$23-Finance!AR$29,0)</f>
        <v>0</v>
      </c>
      <c r="AR24" s="16">
        <f>IF(AND(--RIGHT(AR$9,2)&gt;=(--RIGHT(Emissions!$E$10,2)),--RIGHT(AR$9,2)&lt;(--RIGHT(Emissions!$E$10,2)+Emissions!$E$11)),AR$23-Finance!AS$29,0)</f>
        <v>0</v>
      </c>
      <c r="AS24" s="16">
        <f>IF(AND(--RIGHT(AS$9,2)&gt;=(--RIGHT(Emissions!$E$10,2)),--RIGHT(AS$9,2)&lt;(--RIGHT(Emissions!$E$10,2)+Emissions!$E$11)),AS$23-Finance!AT$29,0)</f>
        <v>0</v>
      </c>
      <c r="AT24" s="16">
        <f>IF(AND(--RIGHT(AT$9,2)&gt;=(--RIGHT(Emissions!$E$10,2)),--RIGHT(AT$9,2)&lt;(--RIGHT(Emissions!$E$10,2)+Emissions!$E$11)),AT$23-Finance!AU$29,0)</f>
        <v>0</v>
      </c>
      <c r="AU24" s="16">
        <f>IF(AND(--RIGHT(AU$9,2)&gt;=(--RIGHT(Emissions!$E$10,2)),--RIGHT(AU$9,2)&lt;(--RIGHT(Emissions!$E$10,2)+Emissions!$E$11)),AU$23-Finance!AV$29,0)</f>
        <v>0</v>
      </c>
      <c r="AV24" s="16">
        <f>IF(AND(--RIGHT(AV$9,2)&gt;=(--RIGHT(Emissions!$E$10,2)),--RIGHT(AV$9,2)&lt;(--RIGHT(Emissions!$E$10,2)+Emissions!$E$11)),AV$23-Finance!AW$29,0)</f>
        <v>0</v>
      </c>
      <c r="AW24" s="16">
        <f>IF(AND(--RIGHT(AW$9,2)&gt;=(--RIGHT(Emissions!$E$10,2)),--RIGHT(AW$9,2)&lt;(--RIGHT(Emissions!$E$10,2)+Emissions!$E$11)),AW$23-Finance!AX$29,0)</f>
        <v>0</v>
      </c>
      <c r="AX24" s="16">
        <f>IF(AND(--RIGHT(AX$9,2)&gt;=(--RIGHT(Emissions!$E$10,2)),--RIGHT(AX$9,2)&lt;(--RIGHT(Emissions!$E$10,2)+Emissions!$E$11)),AX$23-Finance!AY$29,0)</f>
        <v>0</v>
      </c>
      <c r="AY24" s="16">
        <f>IF(AND(--RIGHT(AY$9,2)&gt;=(--RIGHT(Emissions!$E$10,2)),--RIGHT(AY$9,2)&lt;(--RIGHT(Emissions!$E$10,2)+Emissions!$E$11)),AY$23-Finance!AZ$29,0)</f>
        <v>0</v>
      </c>
      <c r="AZ24" s="16">
        <f>IF(AND(--RIGHT(AZ$9,2)&gt;=(--RIGHT(Emissions!$E$10,2)),--RIGHT(AZ$9,2)&lt;(--RIGHT(Emissions!$E$10,2)+Emissions!$E$11)),AZ$23-Finance!BA$29,0)</f>
        <v>0</v>
      </c>
      <c r="BA24" s="16">
        <f>IF(AND(--RIGHT(BA$9,2)&gt;=(--RIGHT(Emissions!$E$10,2)),--RIGHT(BA$9,2)&lt;(--RIGHT(Emissions!$E$10,2)+Emissions!$E$11)),BA$23-Finance!BB$29,0)</f>
        <v>0</v>
      </c>
      <c r="BB24" s="16">
        <f>IF(AND(--RIGHT(BB$9,2)&gt;=(--RIGHT(Emissions!$E$10,2)),--RIGHT(BB$9,2)&lt;(--RIGHT(Emissions!$E$10,2)+Emissions!$E$11)),BB$23-Finance!BC$29,0)</f>
        <v>0</v>
      </c>
      <c r="BC24" s="16">
        <f>IF(AND(--RIGHT(BC$9,2)&gt;=(--RIGHT(Emissions!$E$10,2)),--RIGHT(BC$9,2)&lt;(--RIGHT(Emissions!$E$10,2)+Emissions!$E$11)),BC$23-Finance!BD$29,0)</f>
        <v>0</v>
      </c>
      <c r="BD24" s="16">
        <f>IF(AND(--RIGHT(BD$9,2)&gt;=(--RIGHT(Emissions!$E$10,2)),--RIGHT(BD$9,2)&lt;(--RIGHT(Emissions!$E$10,2)+Emissions!$E$11)),BD$23-Finance!BE$29,0)</f>
        <v>0</v>
      </c>
      <c r="BE24" s="16">
        <f>IF(AND(--RIGHT(BE$9,2)&gt;=(--RIGHT(Emissions!$E$10,2)),--RIGHT(BE$9,2)&lt;(--RIGHT(Emissions!$E$10,2)+Emissions!$E$11)),BE$23-Finance!BF$29,0)</f>
        <v>0</v>
      </c>
      <c r="BF24" s="16">
        <f>IF(AND(--RIGHT(BF$9,2)&gt;=(--RIGHT(Emissions!$E$10,2)),--RIGHT(BF$9,2)&lt;(--RIGHT(Emissions!$E$10,2)+Emissions!$E$11)),BF$23-Finance!BG$29,0)</f>
        <v>0</v>
      </c>
      <c r="BG24" s="27">
        <f>IF(AND(--RIGHT(BG$9,2)&gt;=(--RIGHT(Emissions!$E$10,2)),--RIGHT(BG$9,2)&lt;(--RIGHT(Emissions!$E$10,2)+Emissions!$E$11)),BG$23-Finance!BH$29,0)</f>
        <v>0</v>
      </c>
    </row>
    <row r="25" spans="2:59" s="3" customFormat="1" x14ac:dyDescent="0.3">
      <c r="B25" s="33" t="s">
        <v>279</v>
      </c>
      <c r="C25" s="34" t="s">
        <v>172</v>
      </c>
      <c r="D25" s="35">
        <f>SUM($D$24:D$24)</f>
        <v>0</v>
      </c>
      <c r="E25" s="35">
        <f>SUM($D$24:E$24)</f>
        <v>0</v>
      </c>
      <c r="F25" s="35">
        <f>SUM($D$24:F$24)</f>
        <v>0</v>
      </c>
      <c r="G25" s="35">
        <f>SUM($D$24:G$24)</f>
        <v>0</v>
      </c>
      <c r="H25" s="35">
        <f>SUM($D$24:H$24)</f>
        <v>0</v>
      </c>
      <c r="I25" s="35">
        <f>SUM($D$24:I$24)</f>
        <v>0</v>
      </c>
      <c r="J25" s="35">
        <f>SUM($D$24:J$24)</f>
        <v>0</v>
      </c>
      <c r="K25" s="35">
        <f>SUM($D$24:K$24)</f>
        <v>0</v>
      </c>
      <c r="L25" s="35">
        <f>SUM($D$24:L$24)</f>
        <v>0</v>
      </c>
      <c r="M25" s="35">
        <f>SUM($D$24:M$24)</f>
        <v>0</v>
      </c>
      <c r="N25" s="35">
        <f>SUM($D$24:N$24)</f>
        <v>0</v>
      </c>
      <c r="O25" s="35">
        <f>SUM($D$24:O$24)</f>
        <v>0</v>
      </c>
      <c r="P25" s="35">
        <f>SUM($D$24:P$24)</f>
        <v>0</v>
      </c>
      <c r="Q25" s="35">
        <f>SUM($D$24:Q$24)</f>
        <v>0</v>
      </c>
      <c r="R25" s="35">
        <f>SUM($D$24:R$24)</f>
        <v>0</v>
      </c>
      <c r="S25" s="35">
        <f>SUM($D$24:S$24)</f>
        <v>0</v>
      </c>
      <c r="T25" s="35">
        <f>SUM($D$24:T$24)</f>
        <v>0</v>
      </c>
      <c r="U25" s="35">
        <f>SUM($D$24:U$24)</f>
        <v>0</v>
      </c>
      <c r="V25" s="35">
        <f>SUM($D$24:V$24)</f>
        <v>0</v>
      </c>
      <c r="W25" s="35">
        <f>SUM($D$24:W$24)</f>
        <v>0</v>
      </c>
      <c r="X25" s="35">
        <f>SUM($D$24:X$24)</f>
        <v>0</v>
      </c>
      <c r="Y25" s="35">
        <f>SUM($D$24:Y$24)</f>
        <v>0</v>
      </c>
      <c r="Z25" s="35">
        <f>SUM($D$24:Z$24)</f>
        <v>0</v>
      </c>
      <c r="AA25" s="35">
        <f>SUM($D$24:AA$24)</f>
        <v>0</v>
      </c>
      <c r="AB25" s="35">
        <f>SUM($D$24:AB$24)</f>
        <v>0</v>
      </c>
      <c r="AC25" s="35">
        <f>SUM($D$24:AC$24)</f>
        <v>0</v>
      </c>
      <c r="AD25" s="35">
        <f>SUM($D$24:AD$24)</f>
        <v>0</v>
      </c>
      <c r="AE25" s="35">
        <f>SUM($D$24:AE$24)</f>
        <v>0</v>
      </c>
      <c r="AF25" s="35">
        <f>SUM($D$24:AF$24)</f>
        <v>0</v>
      </c>
      <c r="AG25" s="35">
        <f>SUM($D$24:AG$24)</f>
        <v>0</v>
      </c>
      <c r="AH25" s="35">
        <f>SUM($D$24:AH$24)</f>
        <v>0</v>
      </c>
      <c r="AI25" s="35">
        <f>SUM($D$24:AI$24)</f>
        <v>0</v>
      </c>
      <c r="AJ25" s="35">
        <f>SUM($D$24:AJ$24)</f>
        <v>0</v>
      </c>
      <c r="AK25" s="35">
        <f>SUM($D$24:AK$24)</f>
        <v>0</v>
      </c>
      <c r="AL25" s="35">
        <f>SUM($D$24:AL$24)</f>
        <v>0</v>
      </c>
      <c r="AM25" s="35">
        <f>SUM($D$24:AM$24)</f>
        <v>0</v>
      </c>
      <c r="AN25" s="35">
        <f>SUM($D$24:AN$24)</f>
        <v>0</v>
      </c>
      <c r="AO25" s="35">
        <f>SUM($D$24:AO$24)</f>
        <v>0</v>
      </c>
      <c r="AP25" s="35">
        <f>SUM($D$24:AP$24)</f>
        <v>0</v>
      </c>
      <c r="AQ25" s="35">
        <f>SUM($D$24:AQ$24)</f>
        <v>0</v>
      </c>
      <c r="AR25" s="35">
        <f>SUM($D$24:AR$24)</f>
        <v>0</v>
      </c>
      <c r="AS25" s="35">
        <f>SUM($D$24:AS$24)</f>
        <v>0</v>
      </c>
      <c r="AT25" s="35">
        <f>SUM($D$24:AT$24)</f>
        <v>0</v>
      </c>
      <c r="AU25" s="35">
        <f>SUM($D$24:AU$24)</f>
        <v>0</v>
      </c>
      <c r="AV25" s="35">
        <f>SUM($D$24:AV$24)</f>
        <v>0</v>
      </c>
      <c r="AW25" s="35">
        <f>SUM($D$24:AW$24)</f>
        <v>0</v>
      </c>
      <c r="AX25" s="35">
        <f>SUM($D$24:AX$24)</f>
        <v>0</v>
      </c>
      <c r="AY25" s="35">
        <f>SUM($D$24:AY$24)</f>
        <v>0</v>
      </c>
      <c r="AZ25" s="35">
        <f>SUM($D$24:AZ$24)</f>
        <v>0</v>
      </c>
      <c r="BA25" s="35">
        <f>SUM($D$24:BA$24)</f>
        <v>0</v>
      </c>
      <c r="BB25" s="35">
        <f>SUM($D$24:BB$24)</f>
        <v>0</v>
      </c>
      <c r="BC25" s="35">
        <f>SUM($D$24:BC$24)</f>
        <v>0</v>
      </c>
      <c r="BD25" s="35">
        <f>SUM($D$24:BD$24)</f>
        <v>0</v>
      </c>
      <c r="BE25" s="35">
        <f>SUM($D$24:BE$24)</f>
        <v>0</v>
      </c>
      <c r="BF25" s="35">
        <f>SUM($D$24:BF$24)</f>
        <v>0</v>
      </c>
      <c r="BG25" s="36">
        <f>SUM($D$24:BG$24)</f>
        <v>0</v>
      </c>
    </row>
    <row r="26" spans="2:59" s="3" customFormat="1" x14ac:dyDescent="0.3"/>
    <row r="27" spans="2:59" s="3" customFormat="1" x14ac:dyDescent="0.3"/>
    <row r="28" spans="2:59" s="3" customFormat="1" ht="15" thickBot="1" x14ac:dyDescent="0.35">
      <c r="B28" s="46" t="s">
        <v>46</v>
      </c>
      <c r="C28" s="46" t="s">
        <v>48</v>
      </c>
      <c r="D28" s="46" t="s">
        <v>49</v>
      </c>
    </row>
    <row r="29" spans="2:59" s="3" customFormat="1" x14ac:dyDescent="0.3">
      <c r="B29" s="47" t="s">
        <v>170</v>
      </c>
      <c r="C29" s="11" t="s">
        <v>172</v>
      </c>
      <c r="D29" s="62">
        <f ca="1">IFERROR(SUM(OFFSET(Finance!$E$15,0,0,1,RIGHT(Emissions!$E$10,2)-25+Emissions!$E$11)),"No data")</f>
        <v>0</v>
      </c>
      <c r="E29" s="3" t="s">
        <v>282</v>
      </c>
    </row>
    <row r="30" spans="2:59" s="3" customFormat="1" x14ac:dyDescent="0.3">
      <c r="B30" s="3" t="s">
        <v>283</v>
      </c>
      <c r="C30" s="7" t="s">
        <v>172</v>
      </c>
      <c r="D30" s="27">
        <f ca="1">IFERROR(SUM(OFFSET(Finance!$E$16,0,0,1,RIGHT(Emissions!$E$10,2)-25+Emissions!$E$11)),"No data")</f>
        <v>0</v>
      </c>
      <c r="E30" s="3" t="s">
        <v>282</v>
      </c>
    </row>
    <row r="31" spans="2:59" s="3" customFormat="1" x14ac:dyDescent="0.3">
      <c r="B31" s="3" t="s">
        <v>284</v>
      </c>
      <c r="C31" s="7" t="s">
        <v>172</v>
      </c>
      <c r="D31" s="48">
        <f ca="1">IFERROR(SUM(OFFSET(Finance!$E$17,0,0,1,RIGHT(Emissions!$E$10,2)-25+Emissions!$E$11)),"No data")</f>
        <v>0</v>
      </c>
      <c r="E31" s="3" t="s">
        <v>282</v>
      </c>
    </row>
    <row r="32" spans="2:59" s="3" customFormat="1" x14ac:dyDescent="0.3">
      <c r="B32" s="3" t="s">
        <v>32</v>
      </c>
      <c r="C32" s="7" t="s">
        <v>172</v>
      </c>
      <c r="D32" s="48">
        <f ca="1">IFERROR(SUM(OFFSET(Finance!$E$18,0,0,1,RIGHT(Emissions!$E$10,2)-25+Emissions!$E$11))+SUM(OFFSET(Finance!$E$19,0,0,1,RIGHT(Emissions!$E$10,2)-25+Emissions!$E$11))+SUM(OFFSET(Finance!$E$20,0,0,1,RIGHT(Emissions!$E$10,2)-25+Emissions!$E$11)),"No data")</f>
        <v>0</v>
      </c>
      <c r="E32" s="3" t="s">
        <v>282</v>
      </c>
    </row>
    <row r="33" spans="2:5" s="3" customFormat="1" ht="15" thickBot="1" x14ac:dyDescent="0.35">
      <c r="B33" s="49" t="s">
        <v>34</v>
      </c>
      <c r="C33" s="12" t="s">
        <v>172</v>
      </c>
      <c r="D33" s="50">
        <f ca="1">IFERROR(SUM(OFFSET(ProjLEIP[[#Totals],[FY25/26]],0,0,1,RIGHT(Emissions!$E$10,2)-26+Emissions!$E$11)),"No data")</f>
        <v>0</v>
      </c>
      <c r="E33" s="3" t="s">
        <v>285</v>
      </c>
    </row>
    <row r="34" spans="2:5" s="3" customFormat="1" x14ac:dyDescent="0.3">
      <c r="B34" s="47" t="s">
        <v>286</v>
      </c>
      <c r="C34" s="11" t="s">
        <v>172</v>
      </c>
      <c r="D34" s="62" cm="1">
        <f t="array" aca="1" ref="D34" ca="1">IFERROR(NPV(DiscountRate[Value],OFFSET($E$11,0,0,1,RIGHT(Emissions!$E$10,2)-26+Emissions!$E$11)),"No data")</f>
        <v>0</v>
      </c>
      <c r="E34" s="3" t="s">
        <v>285</v>
      </c>
    </row>
    <row r="35" spans="2:5" s="3" customFormat="1" x14ac:dyDescent="0.3">
      <c r="B35" s="3" t="s">
        <v>287</v>
      </c>
      <c r="C35" s="7" t="s">
        <v>172</v>
      </c>
      <c r="D35" s="27" cm="1">
        <f t="array" aca="1" ref="D35" ca="1">IFERROR(NPV(DiscountRate[Value],OFFSET($E$12,0,0,1,RIGHT(Emissions!$E$10,2)-26+Emissions!$E$11)),"No data")</f>
        <v>0</v>
      </c>
      <c r="E35" s="3" t="s">
        <v>285</v>
      </c>
    </row>
    <row r="36" spans="2:5" s="3" customFormat="1" x14ac:dyDescent="0.3">
      <c r="B36" s="3" t="s">
        <v>288</v>
      </c>
      <c r="C36" s="7" t="s">
        <v>172</v>
      </c>
      <c r="D36" s="48" cm="1">
        <f t="array" aca="1" ref="D36" ca="1">IFERROR(NPV(DiscountRate[Value],OFFSET($E$13,0,0,1,RIGHT(Emissions!$E$10,2)-26+Emissions!$E$11)),"No data")</f>
        <v>0</v>
      </c>
      <c r="E36" s="3" t="s">
        <v>285</v>
      </c>
    </row>
    <row r="37" spans="2:5" s="3" customFormat="1" ht="15.6" x14ac:dyDescent="0.3">
      <c r="B37" s="3" t="s">
        <v>289</v>
      </c>
      <c r="C37" s="7" t="s">
        <v>290</v>
      </c>
      <c r="D37" s="51" t="str" cm="1">
        <f t="array" aca="1" ref="D37" ca="1">IFERROR(NPV(DiscountRate[Value],OFFSET($E$11,0,0,1,RIGHT(Emissions!$E$10,2)-26+Emissions!$E$11))/Emissions!$E$78,"No data")</f>
        <v>No data</v>
      </c>
      <c r="E37" s="3" t="s">
        <v>285</v>
      </c>
    </row>
    <row r="38" spans="2:5" s="3" customFormat="1" ht="15.6" x14ac:dyDescent="0.3">
      <c r="B38" s="3" t="s">
        <v>291</v>
      </c>
      <c r="C38" s="46" t="s">
        <v>290</v>
      </c>
      <c r="D38" s="51" t="str" cm="1">
        <f t="array" aca="1" ref="D38" ca="1">IFERROR(NPV(DiscountRate[Value],OFFSET(ProjLEIP[[#Totals],[FY25/26]],0,0,1,RIGHT(Emissions!$E$10,2)-26+Emissions!$E$11))/Emissions!$E$78,"No data")</f>
        <v>No data</v>
      </c>
      <c r="E38" s="3" t="s">
        <v>285</v>
      </c>
    </row>
    <row r="39" spans="2:5" s="3" customFormat="1" x14ac:dyDescent="0.3">
      <c r="B39" s="3" t="s">
        <v>292</v>
      </c>
      <c r="C39" s="46" t="s">
        <v>293</v>
      </c>
      <c r="D39" s="52" t="str">
        <f ca="1">IFERROR(IRR(OFFSET($E$11,0,0,1,RIGHT(Emissions!$E$10,2)-26+Emissions!$E$11)),"No data")</f>
        <v>No data</v>
      </c>
      <c r="E39" s="3" t="s">
        <v>285</v>
      </c>
    </row>
    <row r="40" spans="2:5" s="3" customFormat="1" x14ac:dyDescent="0.3">
      <c r="B40" s="3" t="s">
        <v>294</v>
      </c>
      <c r="C40" s="46" t="s">
        <v>293</v>
      </c>
      <c r="D40" s="52" t="str">
        <f ca="1">IFERROR(IRR(OFFSET($E$12,0,0,1,RIGHT(Emissions!$E$10,2)-26+Emissions!$E$11)),"No data")</f>
        <v>No data</v>
      </c>
      <c r="E40" s="3" t="s">
        <v>285</v>
      </c>
    </row>
    <row r="41" spans="2:5" s="3" customFormat="1" x14ac:dyDescent="0.3">
      <c r="B41" s="3" t="s">
        <v>295</v>
      </c>
      <c r="C41" s="46" t="s">
        <v>293</v>
      </c>
      <c r="D41" s="52" t="str">
        <f ca="1">IFERROR(IRR(OFFSET($E$13,0,0,1,RIGHT(Emissions!$E$10,2)-26+Emissions!$E$11)),"No data")</f>
        <v>No data</v>
      </c>
      <c r="E41" s="3" t="s">
        <v>285</v>
      </c>
    </row>
    <row r="42" spans="2:5" s="3" customFormat="1" ht="15" thickBot="1" x14ac:dyDescent="0.35">
      <c r="B42" s="3" t="s">
        <v>296</v>
      </c>
      <c r="C42" s="46" t="s">
        <v>172</v>
      </c>
      <c r="D42" s="53">
        <f ca="1">IFERROR(SUM(OFFSET(Finance!$F$38,0,RIGHT(Emissions!$E$10,2)-26,1,Emissions!$E$11))+SUM(OFFSET(Finance!$F$51,0,RIGHT(Emissions!$E$10,2)-26,1,Emissions!$E$11)),"No data")</f>
        <v>0</v>
      </c>
      <c r="E42" s="3" t="s">
        <v>161</v>
      </c>
    </row>
    <row r="43" spans="2:5" s="3" customFormat="1" x14ac:dyDescent="0.3">
      <c r="B43" s="54" t="s">
        <v>276</v>
      </c>
      <c r="C43" s="18"/>
      <c r="D43" s="55"/>
    </row>
    <row r="44" spans="2:5" s="3" customFormat="1" x14ac:dyDescent="0.3">
      <c r="B44" s="3" t="s">
        <v>297</v>
      </c>
      <c r="C44" s="46" t="s">
        <v>172</v>
      </c>
      <c r="D44" s="48" cm="1">
        <f t="array" aca="1" ref="D44" ca="1">IFERROR(NPV(DiscountRate[Value],OFFSET($E$16,0,0,1,RIGHT(Emissions!$E$10,2)-26+Emissions!$E$11)),"No data")</f>
        <v>0</v>
      </c>
    </row>
    <row r="45" spans="2:5" s="3" customFormat="1" x14ac:dyDescent="0.3">
      <c r="B45" s="3" t="s">
        <v>298</v>
      </c>
      <c r="C45" s="46" t="s">
        <v>293</v>
      </c>
      <c r="D45" s="52" t="str">
        <f ca="1">IFERROR(IRR(OFFSET($E$16,0,0,1,RIGHT(Emissions!$E$10,2)-26+Emissions!$E$11)),"No data")</f>
        <v>No data</v>
      </c>
    </row>
    <row r="46" spans="2:5" s="3" customFormat="1" x14ac:dyDescent="0.3">
      <c r="B46" s="3" t="s">
        <v>299</v>
      </c>
      <c r="C46" s="46" t="s">
        <v>300</v>
      </c>
      <c r="D46" s="51" t="str">
        <f ca="1">IFERROR(SUM(OFFSET($E$15,0,RIGHT(Emissions!$E$10,2)-26,1,Emissions!$E$11))/SUM(OFFSET(ProjLEIP[[#Totals],[FY25/26]],0,RIGHT(Emissions!$E$10,2)-26,1,Emissions!$E$11)),"No data")</f>
        <v>No data</v>
      </c>
    </row>
    <row r="47" spans="2:5" s="3" customFormat="1" ht="15" thickBot="1" x14ac:dyDescent="0.35">
      <c r="B47" s="49" t="s">
        <v>301</v>
      </c>
      <c r="C47" s="5" t="s">
        <v>302</v>
      </c>
      <c r="D47" s="50" t="str" cm="1">
        <f t="array" ref="D47">IFERROR(INDEX(CBAData[[#Headers],[FY24/25]:[FY79/80]],MATCH(TRUE,(D17:BF17&lt;0)*(E17:BG17&gt;0)=1,0)+1),"No data")</f>
        <v>No data</v>
      </c>
    </row>
    <row r="48" spans="2:5" s="3" customFormat="1" x14ac:dyDescent="0.3">
      <c r="B48" s="54" t="s">
        <v>280</v>
      </c>
      <c r="C48" s="18"/>
      <c r="D48" s="55"/>
    </row>
    <row r="49" spans="2:4" s="3" customFormat="1" x14ac:dyDescent="0.3">
      <c r="B49" s="3" t="s">
        <v>297</v>
      </c>
      <c r="C49" s="46" t="s">
        <v>172</v>
      </c>
      <c r="D49" s="48" cm="1">
        <f t="array" aca="1" ref="D49" ca="1">IFERROR(NPV(DiscountRate[Value],OFFSET($E$20,0,0,1,RIGHT(Emissions!$E$10,2)-26+Emissions!$E$11)),"No data")</f>
        <v>0</v>
      </c>
    </row>
    <row r="50" spans="2:4" s="3" customFormat="1" x14ac:dyDescent="0.3">
      <c r="B50" s="3" t="s">
        <v>298</v>
      </c>
      <c r="C50" s="46" t="s">
        <v>293</v>
      </c>
      <c r="D50" s="52" t="str">
        <f ca="1">IFERROR(IRR(OFFSET($E$20,0,0,1,RIGHT(Emissions!$E$10,2)-26+Emissions!$E$11)),"No data")</f>
        <v>No data</v>
      </c>
    </row>
    <row r="51" spans="2:4" s="3" customFormat="1" x14ac:dyDescent="0.3">
      <c r="B51" s="3" t="s">
        <v>299</v>
      </c>
      <c r="C51" s="46" t="s">
        <v>300</v>
      </c>
      <c r="D51" s="51" t="str">
        <f ca="1">IFERROR(SUM(OFFSET($E$19,0,RIGHT(Emissions!$E$10,2)-26,1,Emissions!$E$11))/SUM(OFFSET(ProjLEIP[[#Totals],[FY25/26]],0,RIGHT(Emissions!$E$10,2)-26,1,Emissions!$E$11)),"No data")</f>
        <v>No data</v>
      </c>
    </row>
    <row r="52" spans="2:4" s="3" customFormat="1" ht="15" thickBot="1" x14ac:dyDescent="0.35">
      <c r="B52" s="49" t="s">
        <v>301</v>
      </c>
      <c r="C52" s="5" t="s">
        <v>302</v>
      </c>
      <c r="D52" s="50" t="str" cm="1">
        <f t="array" ref="D52">IFERROR(INDEX(CBAData[[#Headers],[FY24/25]:[FY79/80]],MATCH(TRUE,(D21:BF21&lt;0)*(E21:BG21&gt;0)=1,0)+1),"No data")</f>
        <v>No data</v>
      </c>
    </row>
    <row r="53" spans="2:4" s="3" customFormat="1" x14ac:dyDescent="0.3">
      <c r="B53" s="54" t="s">
        <v>281</v>
      </c>
      <c r="C53" s="18"/>
      <c r="D53" s="55"/>
    </row>
    <row r="54" spans="2:4" s="3" customFormat="1" x14ac:dyDescent="0.3">
      <c r="B54" s="3" t="s">
        <v>297</v>
      </c>
      <c r="C54" s="46" t="s">
        <v>172</v>
      </c>
      <c r="D54" s="48" cm="1">
        <f t="array" aca="1" ref="D54" ca="1">IFERROR(NPV(DiscountRate[Value],OFFSET($E$24,0,0,1,RIGHT(Emissions!$E$10,2)-26+Emissions!$E$11)),"No data")</f>
        <v>0</v>
      </c>
    </row>
    <row r="55" spans="2:4" s="3" customFormat="1" x14ac:dyDescent="0.3">
      <c r="B55" s="3" t="s">
        <v>298</v>
      </c>
      <c r="C55" s="46" t="s">
        <v>293</v>
      </c>
      <c r="D55" s="52" t="str">
        <f ca="1">IFERROR(IRR(OFFSET($E$24,0,0,1,RIGHT(Emissions!$E$10,2)-26+Emissions!$E$11)),"No data")</f>
        <v>No data</v>
      </c>
    </row>
    <row r="56" spans="2:4" s="3" customFormat="1" x14ac:dyDescent="0.3">
      <c r="B56" s="3" t="s">
        <v>299</v>
      </c>
      <c r="C56" s="46" t="s">
        <v>300</v>
      </c>
      <c r="D56" s="51" t="str">
        <f ca="1">IFERROR(SUM(OFFSET($E$23,0,RIGHT(Emissions!$E$10,2)-26,1,Emissions!$E$11))/SUM(OFFSET(ProjLEIP[[#Totals],[FY25/26]],0,RIGHT(Emissions!$E$10,2)-26,1,Emissions!$E$11)),"No data")</f>
        <v>No data</v>
      </c>
    </row>
    <row r="57" spans="2:4" s="3" customFormat="1" x14ac:dyDescent="0.3">
      <c r="B57" s="3" t="s">
        <v>301</v>
      </c>
      <c r="C57" s="46" t="s">
        <v>302</v>
      </c>
      <c r="D57" s="48" t="str" cm="1">
        <f t="array" ref="D57">IFERROR(INDEX(CBAData[[#Headers],[FY24/25]:[FY79/80]],MATCH(TRUE,(D25:BF25&lt;0)*(E25:BG25&gt;0)=1,0)+1),"No data")</f>
        <v>No data</v>
      </c>
    </row>
  </sheetData>
  <sheetProtection algorithmName="SHA-512" hashValue="Gn8HwtWbUBAPBau7ytnW6aqaKiMSyyySohXx3Ll5P/o4uWlgL7zH0I1JRfjSSlLEdhsCNn7O5v5ECHwe7ylKcQ==" saltValue="+2/qtwg8vklcLVStNKxORg==" spinCount="100000" sheet="1" selectLockedCells="1"/>
  <phoneticPr fontId="5" type="noConversion"/>
  <pageMargins left="0.7" right="0.7" top="0.75" bottom="0.75" header="0.3" footer="0.3"/>
  <pageSetup paperSize="9"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B3DE-9118-48FE-B36E-A6D49977525A}">
  <sheetPr>
    <tabColor theme="9" tint="0.79998168889431442"/>
  </sheetPr>
  <dimension ref="B2:G25"/>
  <sheetViews>
    <sheetView showGridLines="0" zoomScaleNormal="100" workbookViewId="0"/>
  </sheetViews>
  <sheetFormatPr defaultColWidth="8.88671875" defaultRowHeight="14.4" x14ac:dyDescent="0.3"/>
  <cols>
    <col min="1" max="1" width="2.6640625" style="2" customWidth="1"/>
    <col min="2" max="2" width="60.6640625" style="8" customWidth="1"/>
    <col min="3" max="3" width="18.44140625" style="2" bestFit="1" customWidth="1"/>
    <col min="4" max="4" width="52.33203125" style="2" bestFit="1" customWidth="1"/>
    <col min="5" max="5" width="10" style="4" bestFit="1" customWidth="1"/>
    <col min="6" max="6" width="11.33203125" style="2" customWidth="1"/>
    <col min="7" max="7" width="100.6640625" style="8" customWidth="1"/>
    <col min="8" max="16384" width="8.88671875" style="2"/>
  </cols>
  <sheetData>
    <row r="2" spans="2:7" x14ac:dyDescent="0.3">
      <c r="B2" s="20" t="s">
        <v>40</v>
      </c>
      <c r="C2" s="20" t="str">
        <f>Emissions!$C$2</f>
        <v>&lt;enter facility name&gt;</v>
      </c>
    </row>
    <row r="4" spans="2:7" ht="15.6" x14ac:dyDescent="0.3">
      <c r="B4" s="1" t="s">
        <v>42</v>
      </c>
    </row>
    <row r="5" spans="2:7" x14ac:dyDescent="0.3">
      <c r="B5" s="3" t="s">
        <v>303</v>
      </c>
    </row>
    <row r="6" spans="2:7" x14ac:dyDescent="0.3">
      <c r="B6" s="3" t="s">
        <v>271</v>
      </c>
    </row>
    <row r="8" spans="2:7" x14ac:dyDescent="0.3">
      <c r="B8" s="8" t="s">
        <v>46</v>
      </c>
      <c r="C8" s="2" t="s">
        <v>304</v>
      </c>
      <c r="D8" s="2" t="s">
        <v>305</v>
      </c>
      <c r="E8" s="4" t="s">
        <v>48</v>
      </c>
      <c r="F8" s="4" t="s">
        <v>306</v>
      </c>
      <c r="G8" s="8" t="s">
        <v>42</v>
      </c>
    </row>
    <row r="9" spans="2:7" ht="15.6" x14ac:dyDescent="0.3">
      <c r="B9" s="8" t="s">
        <v>307</v>
      </c>
      <c r="C9" s="2" t="s">
        <v>308</v>
      </c>
      <c r="D9" s="2" t="s">
        <v>309</v>
      </c>
      <c r="E9" s="4" t="s">
        <v>310</v>
      </c>
      <c r="F9" s="37">
        <f ca="1">IFERROR(MAX(OFFSET(ProjAbate[[#Totals],[FY24/25]],0,RIGHT(Emissions!$E$10,2)-25,1,Emissions!$E$11)),"No data")</f>
        <v>0</v>
      </c>
      <c r="G9" s="8" t="s">
        <v>311</v>
      </c>
    </row>
    <row r="10" spans="2:7" x14ac:dyDescent="0.3">
      <c r="B10" s="8" t="s">
        <v>312</v>
      </c>
      <c r="C10" s="2" t="s">
        <v>313</v>
      </c>
      <c r="D10" s="8" t="s">
        <v>50</v>
      </c>
      <c r="E10" s="4" t="s">
        <v>314</v>
      </c>
      <c r="F10" s="4" t="str">
        <f>IF(--RIGHT(Emissions!$E$10,2)&lt;=30,"YES","NO")</f>
        <v>YES</v>
      </c>
      <c r="G10" s="8" t="s">
        <v>315</v>
      </c>
    </row>
    <row r="11" spans="2:7" ht="57.6" x14ac:dyDescent="0.3">
      <c r="B11" s="8" t="s">
        <v>316</v>
      </c>
      <c r="C11" s="2" t="s">
        <v>317</v>
      </c>
      <c r="D11" s="2" t="s">
        <v>318</v>
      </c>
      <c r="E11" s="4" t="s">
        <v>293</v>
      </c>
      <c r="F11" s="38" t="str">
        <f ca="1">IFERROR('Finance-Calculations'!$D$33/'Finance-Calculations'!$D$29,"No data")</f>
        <v>No data</v>
      </c>
      <c r="G11" s="8" t="s">
        <v>319</v>
      </c>
    </row>
    <row r="12" spans="2:7" ht="15.6" x14ac:dyDescent="0.3">
      <c r="B12" s="8" t="s">
        <v>320</v>
      </c>
      <c r="C12" s="2" t="s">
        <v>321</v>
      </c>
      <c r="D12" s="2" t="s">
        <v>322</v>
      </c>
      <c r="E12" s="4" t="s">
        <v>133</v>
      </c>
      <c r="F12" s="37">
        <f>IFERROR(Emissions!$D$74-Emissions!$E$74,"No data")</f>
        <v>0</v>
      </c>
      <c r="G12" s="8" t="s">
        <v>323</v>
      </c>
    </row>
    <row r="13" spans="2:7" ht="15.6" x14ac:dyDescent="0.3">
      <c r="B13" s="8" t="s">
        <v>324</v>
      </c>
      <c r="C13" s="2" t="s">
        <v>325</v>
      </c>
      <c r="D13" s="2" t="s">
        <v>326</v>
      </c>
      <c r="E13" s="4" t="s">
        <v>133</v>
      </c>
      <c r="F13" s="37">
        <f>IFERROR(Emissions!$D$75-Emissions!$E$75,"No data")</f>
        <v>0</v>
      </c>
      <c r="G13" s="8" t="s">
        <v>327</v>
      </c>
    </row>
    <row r="14" spans="2:7" ht="15.6" x14ac:dyDescent="0.3">
      <c r="B14" s="8" t="s">
        <v>328</v>
      </c>
      <c r="C14" s="2" t="s">
        <v>329</v>
      </c>
      <c r="D14" s="2" t="s">
        <v>322</v>
      </c>
      <c r="E14" s="4" t="s">
        <v>133</v>
      </c>
      <c r="F14" s="37">
        <f ca="1">IFERROR(Emissions!$D$76-Emissions!$E$76,"No data")</f>
        <v>0</v>
      </c>
      <c r="G14" s="8" t="s">
        <v>330</v>
      </c>
    </row>
    <row r="15" spans="2:7" ht="15.6" x14ac:dyDescent="0.3">
      <c r="B15" s="8" t="s">
        <v>331</v>
      </c>
      <c r="C15" s="2" t="s">
        <v>332</v>
      </c>
      <c r="D15" s="2" t="s">
        <v>326</v>
      </c>
      <c r="E15" s="4" t="s">
        <v>133</v>
      </c>
      <c r="F15" s="37">
        <f ca="1">IFERROR(Emissions!$D$77-Emissions!$E$77,"No data")</f>
        <v>0</v>
      </c>
      <c r="G15" s="8" t="s">
        <v>333</v>
      </c>
    </row>
    <row r="16" spans="2:7" ht="28.8" x14ac:dyDescent="0.3">
      <c r="B16" s="8" t="s">
        <v>170</v>
      </c>
      <c r="C16" s="2" t="s">
        <v>334</v>
      </c>
      <c r="D16" s="8" t="s">
        <v>335</v>
      </c>
      <c r="E16" s="4" t="s">
        <v>172</v>
      </c>
      <c r="F16" s="37">
        <f ca="1">'Finance-Calculations'!$D$29</f>
        <v>0</v>
      </c>
      <c r="G16" s="8" t="s">
        <v>336</v>
      </c>
    </row>
    <row r="17" spans="2:7" ht="28.8" x14ac:dyDescent="0.3">
      <c r="B17" s="8" t="s">
        <v>283</v>
      </c>
      <c r="C17" s="2" t="s">
        <v>334</v>
      </c>
      <c r="D17" s="8" t="s">
        <v>337</v>
      </c>
      <c r="E17" s="4" t="s">
        <v>172</v>
      </c>
      <c r="F17" s="37">
        <f ca="1">'Finance-Calculations'!$D$30</f>
        <v>0</v>
      </c>
      <c r="G17" s="8" t="s">
        <v>338</v>
      </c>
    </row>
    <row r="18" spans="2:7" ht="28.8" x14ac:dyDescent="0.3">
      <c r="B18" s="8" t="s">
        <v>284</v>
      </c>
      <c r="C18" s="2" t="s">
        <v>334</v>
      </c>
      <c r="D18" s="8" t="s">
        <v>339</v>
      </c>
      <c r="E18" s="4" t="s">
        <v>172</v>
      </c>
      <c r="F18" s="37">
        <f ca="1">'Finance-Calculations'!$D$31</f>
        <v>0</v>
      </c>
      <c r="G18" s="8" t="s">
        <v>340</v>
      </c>
    </row>
    <row r="19" spans="2:7" x14ac:dyDescent="0.3">
      <c r="B19" s="8" t="s">
        <v>32</v>
      </c>
      <c r="C19" s="2" t="s">
        <v>334</v>
      </c>
      <c r="D19" s="8" t="s">
        <v>341</v>
      </c>
      <c r="E19" s="4" t="s">
        <v>172</v>
      </c>
      <c r="F19" s="37">
        <f ca="1">'Finance-Calculations'!$D$32</f>
        <v>0</v>
      </c>
      <c r="G19" s="8" t="s">
        <v>342</v>
      </c>
    </row>
    <row r="20" spans="2:7" x14ac:dyDescent="0.3">
      <c r="B20" s="8" t="s">
        <v>34</v>
      </c>
      <c r="C20" s="2" t="s">
        <v>334</v>
      </c>
      <c r="D20" s="2" t="s">
        <v>343</v>
      </c>
      <c r="E20" s="4" t="s">
        <v>172</v>
      </c>
      <c r="F20" s="37">
        <f ca="1">'Finance-Calculations'!$D$33</f>
        <v>0</v>
      </c>
      <c r="G20" s="8" t="s">
        <v>342</v>
      </c>
    </row>
    <row r="21" spans="2:7" x14ac:dyDescent="0.3">
      <c r="B21" s="8" t="s">
        <v>344</v>
      </c>
      <c r="C21" s="2" t="s">
        <v>334</v>
      </c>
      <c r="D21" s="2" t="s">
        <v>345</v>
      </c>
      <c r="E21" s="4" t="s">
        <v>346</v>
      </c>
      <c r="F21" s="40" t="str">
        <f ca="1">'Finance-Calculations'!$D$39</f>
        <v>No data</v>
      </c>
      <c r="G21" s="8" t="s">
        <v>347</v>
      </c>
    </row>
    <row r="22" spans="2:7" x14ac:dyDescent="0.3">
      <c r="B22" s="8" t="s">
        <v>348</v>
      </c>
      <c r="C22" s="2" t="s">
        <v>334</v>
      </c>
      <c r="D22" s="2" t="s">
        <v>345</v>
      </c>
      <c r="E22" s="4" t="s">
        <v>346</v>
      </c>
      <c r="F22" s="40" t="str">
        <f ca="1">'Finance-Calculations'!$D$40</f>
        <v>No data</v>
      </c>
      <c r="G22" s="8" t="s">
        <v>349</v>
      </c>
    </row>
    <row r="23" spans="2:7" ht="57.6" x14ac:dyDescent="0.3">
      <c r="B23" s="8" t="s">
        <v>350</v>
      </c>
      <c r="C23" s="61"/>
      <c r="D23" s="2" t="s">
        <v>296</v>
      </c>
      <c r="E23" s="4" t="s">
        <v>172</v>
      </c>
      <c r="F23" s="41">
        <f ca="1">'Finance-Calculations'!$D$42</f>
        <v>0</v>
      </c>
      <c r="G23" s="8" t="s">
        <v>351</v>
      </c>
    </row>
    <row r="24" spans="2:7" ht="43.2" x14ac:dyDescent="0.3">
      <c r="B24" s="8" t="s">
        <v>352</v>
      </c>
      <c r="C24" s="2" t="s">
        <v>353</v>
      </c>
      <c r="D24" s="8" t="s">
        <v>354</v>
      </c>
      <c r="E24" s="4" t="s">
        <v>355</v>
      </c>
      <c r="F24" s="39" t="str">
        <f ca="1">'Finance-Calculations'!$D$38</f>
        <v>No data</v>
      </c>
      <c r="G24" s="8" t="s">
        <v>356</v>
      </c>
    </row>
    <row r="25" spans="2:7" x14ac:dyDescent="0.3">
      <c r="B25" s="2" t="s">
        <v>357</v>
      </c>
      <c r="C25" s="2" t="s">
        <v>358</v>
      </c>
      <c r="D25" s="8" t="s">
        <v>359</v>
      </c>
      <c r="E25" s="4" t="s">
        <v>172</v>
      </c>
      <c r="F25" s="37">
        <f ca="1">$F$16+$F$17</f>
        <v>0</v>
      </c>
      <c r="G25" s="8" t="s">
        <v>360</v>
      </c>
    </row>
  </sheetData>
  <sheetProtection algorithmName="SHA-512" hashValue="pPl7qS/SIFJT7O8HaWfjH95vt6U3YFpv9wroadISPt+LM0bH8CpKX5HsLN4kynlAPB/cWG7g/timv4OwOkHW9g==" saltValue="7Qche7Fx1xDVgjkOw5i0IQ==" spinCount="100000" sheet="1" selectLockedCells="1"/>
  <phoneticPr fontId="5"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2E0BE-F539-478A-A0AF-02B8F58025D2}">
  <sheetPr>
    <tabColor theme="7" tint="0.79998168889431442"/>
  </sheetPr>
  <dimension ref="B3:BH42"/>
  <sheetViews>
    <sheetView showGridLines="0" workbookViewId="0"/>
  </sheetViews>
  <sheetFormatPr defaultColWidth="8.88671875" defaultRowHeight="14.4" x14ac:dyDescent="0.3"/>
  <cols>
    <col min="1" max="1" width="2.6640625" style="2" customWidth="1"/>
    <col min="2" max="2" width="29" style="2" customWidth="1"/>
    <col min="3" max="3" width="60.6640625" style="2" bestFit="1" customWidth="1"/>
    <col min="4" max="4" width="12.33203125" style="2" bestFit="1" customWidth="1"/>
    <col min="5" max="60" width="10.6640625" style="2" customWidth="1"/>
    <col min="61" max="16384" width="8.88671875" style="2"/>
  </cols>
  <sheetData>
    <row r="3" spans="2:60" ht="15.6" x14ac:dyDescent="0.3">
      <c r="B3" s="1" t="s">
        <v>361</v>
      </c>
    </row>
    <row r="4" spans="2:60" x14ac:dyDescent="0.3">
      <c r="B4" s="3" t="s">
        <v>362</v>
      </c>
    </row>
    <row r="6" spans="2:60" ht="15.6" x14ac:dyDescent="0.3">
      <c r="B6" s="1" t="s">
        <v>363</v>
      </c>
    </row>
    <row r="7" spans="2:60" x14ac:dyDescent="0.3">
      <c r="B7" s="4" t="s">
        <v>46</v>
      </c>
      <c r="C7" s="4" t="s">
        <v>58</v>
      </c>
      <c r="D7" s="4" t="s">
        <v>130</v>
      </c>
      <c r="E7" s="4" t="s">
        <v>49</v>
      </c>
    </row>
    <row r="8" spans="2:60" x14ac:dyDescent="0.3">
      <c r="B8" s="2" t="s">
        <v>363</v>
      </c>
      <c r="C8" s="2" t="s">
        <v>364</v>
      </c>
      <c r="D8" s="4" t="s">
        <v>293</v>
      </c>
      <c r="E8" s="4">
        <v>0.05</v>
      </c>
    </row>
    <row r="9" spans="2:60" ht="15" thickBot="1" x14ac:dyDescent="0.35"/>
    <row r="10" spans="2:60" ht="15.6" x14ac:dyDescent="0.3">
      <c r="B10" s="1" t="s">
        <v>365</v>
      </c>
      <c r="AF10" s="73" t="s">
        <v>366</v>
      </c>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5"/>
    </row>
    <row r="11" spans="2:60" x14ac:dyDescent="0.3">
      <c r="B11" s="4" t="s">
        <v>47</v>
      </c>
      <c r="C11" s="4" t="s">
        <v>58</v>
      </c>
      <c r="D11" s="4" t="s">
        <v>130</v>
      </c>
      <c r="E11" s="4" t="s">
        <v>202</v>
      </c>
      <c r="F11" s="4" t="s">
        <v>203</v>
      </c>
      <c r="G11" s="4" t="s">
        <v>204</v>
      </c>
      <c r="H11" s="4" t="s">
        <v>205</v>
      </c>
      <c r="I11" s="4" t="s">
        <v>206</v>
      </c>
      <c r="J11" s="4" t="s">
        <v>207</v>
      </c>
      <c r="K11" s="4" t="s">
        <v>208</v>
      </c>
      <c r="L11" s="4" t="s">
        <v>209</v>
      </c>
      <c r="M11" s="4" t="s">
        <v>210</v>
      </c>
      <c r="N11" s="4" t="s">
        <v>211</v>
      </c>
      <c r="O11" s="4" t="s">
        <v>212</v>
      </c>
      <c r="P11" s="4" t="s">
        <v>213</v>
      </c>
      <c r="Q11" s="4" t="s">
        <v>214</v>
      </c>
      <c r="R11" s="4" t="s">
        <v>215</v>
      </c>
      <c r="S11" s="4" t="s">
        <v>216</v>
      </c>
      <c r="T11" s="4" t="s">
        <v>217</v>
      </c>
      <c r="U11" s="4" t="s">
        <v>218</v>
      </c>
      <c r="V11" s="4" t="s">
        <v>219</v>
      </c>
      <c r="W11" s="4" t="s">
        <v>220</v>
      </c>
      <c r="X11" s="4" t="s">
        <v>221</v>
      </c>
      <c r="Y11" s="4" t="s">
        <v>222</v>
      </c>
      <c r="Z11" s="4" t="s">
        <v>223</v>
      </c>
      <c r="AA11" s="4" t="s">
        <v>224</v>
      </c>
      <c r="AB11" s="4" t="s">
        <v>225</v>
      </c>
      <c r="AC11" s="4" t="s">
        <v>226</v>
      </c>
      <c r="AD11" s="4" t="s">
        <v>227</v>
      </c>
      <c r="AE11" s="4" t="s">
        <v>228</v>
      </c>
      <c r="AF11" s="4" t="s">
        <v>229</v>
      </c>
      <c r="AG11" s="4" t="s">
        <v>230</v>
      </c>
      <c r="AH11" s="4" t="s">
        <v>231</v>
      </c>
      <c r="AI11" s="4" t="s">
        <v>232</v>
      </c>
      <c r="AJ11" s="4" t="s">
        <v>233</v>
      </c>
      <c r="AK11" s="4" t="s">
        <v>234</v>
      </c>
      <c r="AL11" s="4" t="s">
        <v>235</v>
      </c>
      <c r="AM11" s="4" t="s">
        <v>236</v>
      </c>
      <c r="AN11" s="4" t="s">
        <v>237</v>
      </c>
      <c r="AO11" s="4" t="s">
        <v>238</v>
      </c>
      <c r="AP11" s="4" t="s">
        <v>239</v>
      </c>
      <c r="AQ11" s="4" t="s">
        <v>240</v>
      </c>
      <c r="AR11" s="4" t="s">
        <v>241</v>
      </c>
      <c r="AS11" s="4" t="s">
        <v>242</v>
      </c>
      <c r="AT11" s="4" t="s">
        <v>243</v>
      </c>
      <c r="AU11" s="4" t="s">
        <v>244</v>
      </c>
      <c r="AV11" s="4" t="s">
        <v>245</v>
      </c>
      <c r="AW11" s="4" t="s">
        <v>246</v>
      </c>
      <c r="AX11" s="4" t="s">
        <v>247</v>
      </c>
      <c r="AY11" s="4" t="s">
        <v>248</v>
      </c>
      <c r="AZ11" s="4" t="s">
        <v>249</v>
      </c>
      <c r="BA11" s="4" t="s">
        <v>250</v>
      </c>
      <c r="BB11" s="4" t="s">
        <v>251</v>
      </c>
      <c r="BC11" s="4" t="s">
        <v>252</v>
      </c>
      <c r="BD11" s="4" t="s">
        <v>253</v>
      </c>
      <c r="BE11" s="4" t="s">
        <v>254</v>
      </c>
      <c r="BF11" s="4" t="s">
        <v>255</v>
      </c>
      <c r="BG11" s="4" t="s">
        <v>256</v>
      </c>
      <c r="BH11" s="4" t="s">
        <v>257</v>
      </c>
    </row>
    <row r="12" spans="2:60" ht="15.6" x14ac:dyDescent="0.3">
      <c r="B12" s="2" t="s">
        <v>367</v>
      </c>
      <c r="C12" s="2" t="s">
        <v>368</v>
      </c>
      <c r="D12" s="4" t="s">
        <v>369</v>
      </c>
      <c r="E12" s="19">
        <v>0.68</v>
      </c>
      <c r="F12" s="19">
        <v>0.63401819512685376</v>
      </c>
      <c r="G12" s="19">
        <v>0.61834000896143715</v>
      </c>
      <c r="H12" s="19">
        <v>0.60156302469822853</v>
      </c>
      <c r="I12" s="19">
        <v>0.57315693178979599</v>
      </c>
      <c r="J12" s="19">
        <v>0.50053717664521691</v>
      </c>
      <c r="K12" s="19">
        <v>0.35327544057801241</v>
      </c>
      <c r="L12" s="19">
        <v>0.32295920323434624</v>
      </c>
      <c r="M12" s="19">
        <v>0.22601621341250586</v>
      </c>
      <c r="N12" s="19">
        <v>0.17466913495375885</v>
      </c>
      <c r="O12" s="19">
        <v>0.1602276274291316</v>
      </c>
      <c r="P12" s="19">
        <v>0.15835079996524062</v>
      </c>
      <c r="Q12" s="19">
        <v>0.13627848660410391</v>
      </c>
      <c r="R12" s="19">
        <v>0.13371598479609059</v>
      </c>
      <c r="S12" s="19">
        <v>0.12095958864855419</v>
      </c>
      <c r="T12" s="19">
        <v>0.12052595224133315</v>
      </c>
      <c r="U12" s="19">
        <v>0.11665966558883759</v>
      </c>
      <c r="V12" s="19">
        <v>7.0808702390562958E-2</v>
      </c>
      <c r="W12" s="19">
        <v>7.1223621409889748E-2</v>
      </c>
      <c r="X12" s="19">
        <v>6.204788045210851E-2</v>
      </c>
      <c r="Y12" s="19">
        <v>5.8131161605829297E-2</v>
      </c>
      <c r="Z12" s="19">
        <v>5.4545369926373731E-2</v>
      </c>
      <c r="AA12" s="19">
        <v>5.0906026623120618E-2</v>
      </c>
      <c r="AB12" s="19">
        <v>5.1127302966895993E-2</v>
      </c>
      <c r="AC12" s="19">
        <v>3.8632343116560976E-2</v>
      </c>
      <c r="AD12" s="19">
        <v>3.82228802535063E-2</v>
      </c>
      <c r="AE12" s="19">
        <v>3.8905286462957878E-2</v>
      </c>
      <c r="AF12" s="19">
        <v>3.4136321246463174E-2</v>
      </c>
      <c r="AG12" s="19">
        <v>3.1543323705415044E-2</v>
      </c>
      <c r="AH12" s="19">
        <v>2.914729045349863E-2</v>
      </c>
      <c r="AI12" s="19">
        <v>2.693326006842988E-2</v>
      </c>
      <c r="AJ12" s="19">
        <v>2.4887407598691815E-2</v>
      </c>
      <c r="AK12" s="19">
        <v>2.2996958237129259E-2</v>
      </c>
      <c r="AL12" s="19">
        <v>2.1250107551903746E-2</v>
      </c>
      <c r="AM12" s="19">
        <v>1.9635947776711099E-2</v>
      </c>
      <c r="AN12" s="19">
        <v>1.8144399699999803E-2</v>
      </c>
      <c r="AO12" s="19">
        <v>1.6766149727889271E-2</v>
      </c>
      <c r="AP12" s="19">
        <v>1.5492591727793811E-2</v>
      </c>
      <c r="AQ12" s="19">
        <v>1.4315773289609174E-2</v>
      </c>
      <c r="AR12" s="19">
        <v>1.3228346068903451E-2</v>
      </c>
      <c r="AS12" s="19">
        <v>1.2223519902043008E-2</v>
      </c>
      <c r="AT12" s="19">
        <v>1.1295020406736835E-2</v>
      </c>
      <c r="AU12" s="19">
        <v>1.0437049803246817E-2</v>
      </c>
      <c r="AV12" s="19">
        <v>9.644250711621798E-3</v>
      </c>
      <c r="AW12" s="19">
        <v>8.9116726988964796E-3</v>
      </c>
      <c r="AX12" s="19">
        <v>8.234741367367647E-3</v>
      </c>
      <c r="AY12" s="19">
        <v>7.6092297909272312E-3</v>
      </c>
      <c r="AZ12" s="19">
        <v>7.0312321210937037E-3</v>
      </c>
      <c r="BA12" s="19">
        <v>6.4971391979312927E-3</v>
      </c>
      <c r="BB12" s="19">
        <v>6.0036160135656423E-3</v>
      </c>
      <c r="BC12" s="19">
        <v>5.547580887572511E-3</v>
      </c>
      <c r="BD12" s="19">
        <v>5.1261862242055114E-3</v>
      </c>
      <c r="BE12" s="19">
        <v>4.7368007313063031E-3</v>
      </c>
      <c r="BF12" s="19">
        <v>4.3769929898677092E-3</v>
      </c>
      <c r="BG12" s="19">
        <v>4.0445162716540341E-3</v>
      </c>
      <c r="BH12" s="19">
        <v>3.737294510076115E-3</v>
      </c>
    </row>
    <row r="13" spans="2:60" x14ac:dyDescent="0.3">
      <c r="B13" s="3" t="s">
        <v>370</v>
      </c>
      <c r="D13" s="4"/>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row>
    <row r="14" spans="2:60" x14ac:dyDescent="0.3">
      <c r="B14" s="3" t="s">
        <v>371</v>
      </c>
      <c r="D14" s="4"/>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row>
    <row r="16" spans="2:60" ht="15.6" x14ac:dyDescent="0.3">
      <c r="B16" s="1" t="s">
        <v>372</v>
      </c>
    </row>
    <row r="17" spans="2:60" ht="57.6" x14ac:dyDescent="0.3">
      <c r="B17" s="4" t="s">
        <v>373</v>
      </c>
      <c r="C17" s="4" t="s">
        <v>374</v>
      </c>
      <c r="D17" s="4" t="s">
        <v>48</v>
      </c>
      <c r="E17" s="59" t="s">
        <v>375</v>
      </c>
      <c r="F17" s="4" t="s">
        <v>130</v>
      </c>
      <c r="G17" s="59" t="s">
        <v>376</v>
      </c>
    </row>
    <row r="18" spans="2:60" ht="16.2" x14ac:dyDescent="0.3">
      <c r="B18" s="2" t="s">
        <v>126</v>
      </c>
      <c r="C18" s="2" t="s">
        <v>377</v>
      </c>
      <c r="D18" s="4" t="s">
        <v>378</v>
      </c>
      <c r="E18" s="4">
        <v>3.9299999999999995E-2</v>
      </c>
      <c r="F18" s="4" t="s">
        <v>124</v>
      </c>
      <c r="G18" s="4">
        <v>51.4</v>
      </c>
    </row>
    <row r="19" spans="2:60" x14ac:dyDescent="0.3">
      <c r="B19" s="2" t="s">
        <v>379</v>
      </c>
      <c r="C19" s="2" t="s">
        <v>377</v>
      </c>
      <c r="D19" s="4" t="s">
        <v>380</v>
      </c>
      <c r="E19" s="4">
        <v>34.200000000000003</v>
      </c>
      <c r="F19" s="4" t="s">
        <v>124</v>
      </c>
      <c r="G19" s="4">
        <v>67.400000000000006</v>
      </c>
    </row>
    <row r="20" spans="2:60" x14ac:dyDescent="0.3">
      <c r="B20" s="2" t="s">
        <v>379</v>
      </c>
      <c r="C20" s="2" t="s">
        <v>381</v>
      </c>
      <c r="D20" s="4" t="s">
        <v>380</v>
      </c>
      <c r="E20" s="4">
        <v>34.200000000000003</v>
      </c>
      <c r="F20" s="4" t="s">
        <v>124</v>
      </c>
      <c r="G20" s="4">
        <v>67.400000000000006</v>
      </c>
    </row>
    <row r="21" spans="2:60" x14ac:dyDescent="0.3">
      <c r="B21" s="2" t="s">
        <v>123</v>
      </c>
      <c r="C21" s="2" t="s">
        <v>377</v>
      </c>
      <c r="D21" s="4" t="s">
        <v>380</v>
      </c>
      <c r="E21" s="4">
        <v>38.6</v>
      </c>
      <c r="F21" s="4" t="s">
        <v>124</v>
      </c>
      <c r="G21" s="4">
        <v>69.900000000000006</v>
      </c>
    </row>
    <row r="22" spans="2:60" x14ac:dyDescent="0.3">
      <c r="B22" s="2" t="s">
        <v>123</v>
      </c>
      <c r="C22" s="2" t="s">
        <v>381</v>
      </c>
      <c r="D22" s="4" t="s">
        <v>380</v>
      </c>
      <c r="E22" s="4">
        <v>38.6</v>
      </c>
      <c r="F22" s="4" t="s">
        <v>124</v>
      </c>
      <c r="G22" s="4">
        <v>69.900000000000006</v>
      </c>
    </row>
    <row r="23" spans="2:60" x14ac:dyDescent="0.3">
      <c r="B23" s="2" t="s">
        <v>382</v>
      </c>
      <c r="C23" s="2" t="s">
        <v>377</v>
      </c>
      <c r="D23" s="4" t="s">
        <v>380</v>
      </c>
      <c r="E23" s="4">
        <v>25.7</v>
      </c>
      <c r="F23" s="4" t="s">
        <v>124</v>
      </c>
      <c r="G23" s="4">
        <v>60.2</v>
      </c>
    </row>
    <row r="24" spans="2:60" x14ac:dyDescent="0.3">
      <c r="B24" s="2" t="s">
        <v>383</v>
      </c>
      <c r="C24" s="2" t="s">
        <v>381</v>
      </c>
      <c r="D24" s="4" t="s">
        <v>380</v>
      </c>
      <c r="E24" s="4">
        <v>26.2</v>
      </c>
      <c r="F24" s="4" t="s">
        <v>124</v>
      </c>
      <c r="G24" s="4">
        <v>60.2</v>
      </c>
    </row>
    <row r="25" spans="2:60" x14ac:dyDescent="0.3">
      <c r="B25" s="2" t="s">
        <v>384</v>
      </c>
      <c r="C25" s="2" t="s">
        <v>377</v>
      </c>
      <c r="D25" s="4" t="s">
        <v>380</v>
      </c>
      <c r="E25" s="4">
        <v>25.3</v>
      </c>
      <c r="F25" s="4" t="s">
        <v>124</v>
      </c>
      <c r="G25" s="4">
        <v>51.4</v>
      </c>
    </row>
    <row r="26" spans="2:60" x14ac:dyDescent="0.3">
      <c r="B26" s="2" t="s">
        <v>385</v>
      </c>
      <c r="C26" s="2" t="s">
        <v>381</v>
      </c>
      <c r="D26" s="4" t="s">
        <v>380</v>
      </c>
      <c r="E26" s="4">
        <v>25.3</v>
      </c>
      <c r="F26" s="4" t="s">
        <v>124</v>
      </c>
      <c r="G26" s="4">
        <v>51.4</v>
      </c>
    </row>
    <row r="27" spans="2:60" x14ac:dyDescent="0.3">
      <c r="B27" s="2" t="s">
        <v>386</v>
      </c>
      <c r="C27" s="2" t="s">
        <v>381</v>
      </c>
      <c r="D27" s="4" t="s">
        <v>380</v>
      </c>
      <c r="E27" s="4">
        <v>25.3</v>
      </c>
      <c r="F27" s="4" t="s">
        <v>124</v>
      </c>
      <c r="G27" s="4">
        <v>51.4</v>
      </c>
    </row>
    <row r="28" spans="2:60" x14ac:dyDescent="0.3">
      <c r="B28" s="2" t="s">
        <v>120</v>
      </c>
      <c r="C28" s="2" t="s">
        <v>377</v>
      </c>
      <c r="D28" s="4" t="s">
        <v>387</v>
      </c>
      <c r="E28" s="4">
        <v>27</v>
      </c>
      <c r="F28" s="4" t="s">
        <v>124</v>
      </c>
      <c r="G28" s="4">
        <v>90</v>
      </c>
    </row>
    <row r="29" spans="2:60" x14ac:dyDescent="0.3">
      <c r="B29" s="3" t="s">
        <v>388</v>
      </c>
      <c r="D29" s="4"/>
      <c r="E29" s="4"/>
      <c r="F29" s="4"/>
      <c r="G29" s="4"/>
    </row>
    <row r="30" spans="2:60" x14ac:dyDescent="0.3">
      <c r="B30" s="3" t="s">
        <v>389</v>
      </c>
    </row>
    <row r="31" spans="2:60" ht="15" thickBot="1" x14ac:dyDescent="0.35">
      <c r="B31" s="3"/>
    </row>
    <row r="32" spans="2:60" ht="15.6" x14ac:dyDescent="0.3">
      <c r="B32" s="1" t="s">
        <v>390</v>
      </c>
      <c r="E32" s="56" t="s">
        <v>391</v>
      </c>
      <c r="AF32" s="73" t="s">
        <v>392</v>
      </c>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5"/>
    </row>
    <row r="33" spans="2:60" x14ac:dyDescent="0.3">
      <c r="B33" s="4" t="s">
        <v>373</v>
      </c>
      <c r="C33" s="4" t="s">
        <v>58</v>
      </c>
      <c r="D33" s="4" t="s">
        <v>130</v>
      </c>
      <c r="E33" s="4" t="s">
        <v>202</v>
      </c>
      <c r="F33" s="4" t="s">
        <v>203</v>
      </c>
      <c r="G33" s="4" t="s">
        <v>204</v>
      </c>
      <c r="H33" s="4" t="s">
        <v>205</v>
      </c>
      <c r="I33" s="4" t="s">
        <v>206</v>
      </c>
      <c r="J33" s="4" t="s">
        <v>207</v>
      </c>
      <c r="K33" s="4" t="s">
        <v>208</v>
      </c>
      <c r="L33" s="4" t="s">
        <v>209</v>
      </c>
      <c r="M33" s="4" t="s">
        <v>210</v>
      </c>
      <c r="N33" s="4" t="s">
        <v>211</v>
      </c>
      <c r="O33" s="4" t="s">
        <v>212</v>
      </c>
      <c r="P33" s="4" t="s">
        <v>213</v>
      </c>
      <c r="Q33" s="4" t="s">
        <v>214</v>
      </c>
      <c r="R33" s="4" t="s">
        <v>215</v>
      </c>
      <c r="S33" s="4" t="s">
        <v>216</v>
      </c>
      <c r="T33" s="4" t="s">
        <v>217</v>
      </c>
      <c r="U33" s="4" t="s">
        <v>218</v>
      </c>
      <c r="V33" s="4" t="s">
        <v>219</v>
      </c>
      <c r="W33" s="4" t="s">
        <v>220</v>
      </c>
      <c r="X33" s="4" t="s">
        <v>221</v>
      </c>
      <c r="Y33" s="4" t="s">
        <v>222</v>
      </c>
      <c r="Z33" s="4" t="s">
        <v>223</v>
      </c>
      <c r="AA33" s="4" t="s">
        <v>224</v>
      </c>
      <c r="AB33" s="4" t="s">
        <v>225</v>
      </c>
      <c r="AC33" s="4" t="s">
        <v>226</v>
      </c>
      <c r="AD33" s="4" t="s">
        <v>227</v>
      </c>
      <c r="AE33" s="4" t="s">
        <v>228</v>
      </c>
      <c r="AF33" s="4" t="s">
        <v>229</v>
      </c>
      <c r="AG33" s="4" t="s">
        <v>230</v>
      </c>
      <c r="AH33" s="4" t="s">
        <v>231</v>
      </c>
      <c r="AI33" s="4" t="s">
        <v>232</v>
      </c>
      <c r="AJ33" s="4" t="s">
        <v>233</v>
      </c>
      <c r="AK33" s="4" t="s">
        <v>234</v>
      </c>
      <c r="AL33" s="4" t="s">
        <v>235</v>
      </c>
      <c r="AM33" s="4" t="s">
        <v>236</v>
      </c>
      <c r="AN33" s="4" t="s">
        <v>237</v>
      </c>
      <c r="AO33" s="4" t="s">
        <v>238</v>
      </c>
      <c r="AP33" s="4" t="s">
        <v>239</v>
      </c>
      <c r="AQ33" s="4" t="s">
        <v>240</v>
      </c>
      <c r="AR33" s="4" t="s">
        <v>241</v>
      </c>
      <c r="AS33" s="4" t="s">
        <v>242</v>
      </c>
      <c r="AT33" s="4" t="s">
        <v>243</v>
      </c>
      <c r="AU33" s="4" t="s">
        <v>244</v>
      </c>
      <c r="AV33" s="4" t="s">
        <v>245</v>
      </c>
      <c r="AW33" s="4" t="s">
        <v>246</v>
      </c>
      <c r="AX33" s="4" t="s">
        <v>247</v>
      </c>
      <c r="AY33" s="4" t="s">
        <v>248</v>
      </c>
      <c r="AZ33" s="4" t="s">
        <v>249</v>
      </c>
      <c r="BA33" s="4" t="s">
        <v>250</v>
      </c>
      <c r="BB33" s="4" t="s">
        <v>251</v>
      </c>
      <c r="BC33" s="4" t="s">
        <v>252</v>
      </c>
      <c r="BD33" s="4" t="s">
        <v>253</v>
      </c>
      <c r="BE33" s="4" t="s">
        <v>254</v>
      </c>
      <c r="BF33" s="4" t="s">
        <v>255</v>
      </c>
      <c r="BG33" s="4" t="s">
        <v>256</v>
      </c>
      <c r="BH33" s="4" t="s">
        <v>257</v>
      </c>
    </row>
    <row r="34" spans="2:60" ht="15.6" x14ac:dyDescent="0.3">
      <c r="B34" s="2" t="s">
        <v>393</v>
      </c>
      <c r="C34" s="2" t="s">
        <v>394</v>
      </c>
      <c r="D34" s="4" t="s">
        <v>355</v>
      </c>
      <c r="E34" s="19">
        <v>132.13430000000002</v>
      </c>
      <c r="F34" s="19">
        <v>133.15741417092789</v>
      </c>
      <c r="G34" s="57">
        <v>134.18170197224271</v>
      </c>
      <c r="H34" s="57">
        <v>136.23027757487239</v>
      </c>
      <c r="I34" s="57">
        <v>140.3274287801317</v>
      </c>
      <c r="J34" s="57">
        <v>149.54601899196518</v>
      </c>
      <c r="K34" s="57">
        <v>167.98319941563213</v>
      </c>
      <c r="L34" s="57">
        <v>200.76040905770668</v>
      </c>
      <c r="M34" s="57">
        <v>245.82907231555919</v>
      </c>
      <c r="N34" s="57">
        <v>290.89773557341169</v>
      </c>
      <c r="O34" s="57">
        <v>323.67494521548628</v>
      </c>
      <c r="P34" s="57">
        <v>342.11212563915319</v>
      </c>
      <c r="Q34" s="57">
        <v>351.33071585098668</v>
      </c>
      <c r="R34" s="57">
        <v>355.42786705624599</v>
      </c>
      <c r="S34" s="57">
        <v>357.47644265887567</v>
      </c>
      <c r="T34" s="57">
        <v>358.50073046019048</v>
      </c>
      <c r="U34" s="57">
        <v>358.50073046019048</v>
      </c>
      <c r="V34" s="57">
        <v>358.50073046019048</v>
      </c>
      <c r="W34" s="57">
        <v>358.50073046019048</v>
      </c>
      <c r="X34" s="57">
        <v>358.50073046019048</v>
      </c>
      <c r="Y34" s="57">
        <v>358.50073046019048</v>
      </c>
      <c r="Z34" s="57">
        <v>358.50073046019048</v>
      </c>
      <c r="AA34" s="57">
        <v>358.50073046019048</v>
      </c>
      <c r="AB34" s="57">
        <v>358.50073046019048</v>
      </c>
      <c r="AC34" s="57">
        <v>358.50073046019048</v>
      </c>
      <c r="AD34" s="57">
        <v>358.50073046019048</v>
      </c>
      <c r="AE34" s="57">
        <v>358.50073046019048</v>
      </c>
      <c r="AF34" s="57">
        <v>358.50073046019003</v>
      </c>
      <c r="AG34" s="57">
        <v>358.50073046019048</v>
      </c>
      <c r="AH34" s="57">
        <v>358.50073046019048</v>
      </c>
      <c r="AI34" s="57">
        <v>358.50073046019048</v>
      </c>
      <c r="AJ34" s="57">
        <v>358.50073046019048</v>
      </c>
      <c r="AK34" s="57">
        <v>358.50073046019048</v>
      </c>
      <c r="AL34" s="57">
        <v>358.50073046019048</v>
      </c>
      <c r="AM34" s="57">
        <v>358.50073046019048</v>
      </c>
      <c r="AN34" s="57">
        <v>358.50073046019048</v>
      </c>
      <c r="AO34" s="57">
        <v>358.50073046019048</v>
      </c>
      <c r="AP34" s="57">
        <v>358.50073046019048</v>
      </c>
      <c r="AQ34" s="57">
        <v>358.50073046019048</v>
      </c>
      <c r="AR34" s="57">
        <v>358.50073046019048</v>
      </c>
      <c r="AS34" s="57">
        <v>358.50073046019048</v>
      </c>
      <c r="AT34" s="57">
        <v>358.50073046019048</v>
      </c>
      <c r="AU34" s="57">
        <v>358.50073046019048</v>
      </c>
      <c r="AV34" s="57">
        <v>358.50073046019048</v>
      </c>
      <c r="AW34" s="57">
        <v>358.50073046019048</v>
      </c>
      <c r="AX34" s="57">
        <v>358.50073046019048</v>
      </c>
      <c r="AY34" s="57">
        <v>358.50073046019048</v>
      </c>
      <c r="AZ34" s="57">
        <v>358.50073046019048</v>
      </c>
      <c r="BA34" s="57">
        <v>358.50073046019048</v>
      </c>
      <c r="BB34" s="57">
        <v>358.50073046019048</v>
      </c>
      <c r="BC34" s="57">
        <v>358.50073046019048</v>
      </c>
      <c r="BD34" s="57">
        <v>358.50073046019048</v>
      </c>
      <c r="BE34" s="57">
        <v>358.50073046019048</v>
      </c>
      <c r="BF34" s="57">
        <v>358.50073046019048</v>
      </c>
      <c r="BG34" s="57">
        <v>358.50073046019048</v>
      </c>
      <c r="BH34" s="57">
        <v>358.50073046019048</v>
      </c>
    </row>
    <row r="35" spans="2:60" ht="15.6" x14ac:dyDescent="0.3">
      <c r="B35" s="2" t="s">
        <v>395</v>
      </c>
      <c r="C35" s="2" t="s">
        <v>394</v>
      </c>
      <c r="D35" s="4" t="s">
        <v>355</v>
      </c>
      <c r="E35" s="19">
        <v>234.58320000000003</v>
      </c>
      <c r="F35" s="19">
        <v>235.58619430241089</v>
      </c>
      <c r="G35" s="57">
        <v>236.61048210372573</v>
      </c>
      <c r="H35" s="57">
        <v>238.65905770635536</v>
      </c>
      <c r="I35" s="57">
        <v>242.75620891161472</v>
      </c>
      <c r="J35" s="57">
        <v>251.97479912344815</v>
      </c>
      <c r="K35" s="57">
        <v>275.53341855368927</v>
      </c>
      <c r="L35" s="57">
        <v>320.60208181154178</v>
      </c>
      <c r="M35" s="57">
        <v>378.98648648648708</v>
      </c>
      <c r="N35" s="57">
        <v>436.34660336011763</v>
      </c>
      <c r="O35" s="57">
        <v>481.41526661797008</v>
      </c>
      <c r="P35" s="57">
        <v>513.16818845872979</v>
      </c>
      <c r="Q35" s="57">
        <v>534.67823228634131</v>
      </c>
      <c r="R35" s="57">
        <v>551.06683710737855</v>
      </c>
      <c r="S35" s="57">
        <v>565.40686632578615</v>
      </c>
      <c r="T35" s="57">
        <v>578.72260774287895</v>
      </c>
      <c r="U35" s="57">
        <v>592.03834915997174</v>
      </c>
      <c r="V35" s="57">
        <v>604.32980277574973</v>
      </c>
      <c r="W35" s="57">
        <v>616.62125639152771</v>
      </c>
      <c r="X35" s="57">
        <v>628.91271000730558</v>
      </c>
      <c r="Y35" s="57">
        <v>642.22845142439837</v>
      </c>
      <c r="Z35" s="57">
        <v>654.51990504017635</v>
      </c>
      <c r="AA35" s="57">
        <v>666.81135865595434</v>
      </c>
      <c r="AB35" s="57">
        <v>679.10281227173232</v>
      </c>
      <c r="AC35" s="57">
        <v>692.41855368882511</v>
      </c>
      <c r="AD35" s="57">
        <v>704.71000730460298</v>
      </c>
      <c r="AE35" s="57">
        <v>717.00146092038096</v>
      </c>
      <c r="AF35" s="57">
        <v>732.00400000000081</v>
      </c>
      <c r="AG35" s="57">
        <v>744.8080000000009</v>
      </c>
      <c r="AH35" s="57">
        <v>757.61200000000099</v>
      </c>
      <c r="AI35" s="57">
        <v>770.41600000000108</v>
      </c>
      <c r="AJ35" s="57">
        <v>783.22000000000116</v>
      </c>
      <c r="AK35" s="57">
        <v>796.02400000000125</v>
      </c>
      <c r="AL35" s="57">
        <v>808.82800000000134</v>
      </c>
      <c r="AM35" s="57">
        <v>821.63200000000143</v>
      </c>
      <c r="AN35" s="57">
        <v>834.43600000000151</v>
      </c>
      <c r="AO35" s="57">
        <v>847.2400000000016</v>
      </c>
      <c r="AP35" s="57">
        <v>860.04400000000169</v>
      </c>
      <c r="AQ35" s="57">
        <v>872.84800000000178</v>
      </c>
      <c r="AR35" s="57">
        <v>885.65200000000186</v>
      </c>
      <c r="AS35" s="57">
        <v>898.45600000000195</v>
      </c>
      <c r="AT35" s="57">
        <v>911.26000000000204</v>
      </c>
      <c r="AU35" s="57">
        <v>924.06400000000212</v>
      </c>
      <c r="AV35" s="57">
        <v>936.86800000000221</v>
      </c>
      <c r="AW35" s="57">
        <v>949.6720000000023</v>
      </c>
      <c r="AX35" s="57">
        <v>962.47599999999875</v>
      </c>
      <c r="AY35" s="57">
        <v>975.27999999999884</v>
      </c>
      <c r="AZ35" s="57">
        <v>988.08399999999892</v>
      </c>
      <c r="BA35" s="57">
        <v>1000.887999999999</v>
      </c>
      <c r="BB35" s="57">
        <v>1013.6919999999991</v>
      </c>
      <c r="BC35" s="57">
        <v>1026.4959999999992</v>
      </c>
      <c r="BD35" s="57">
        <v>1039.2999999999993</v>
      </c>
      <c r="BE35" s="57">
        <v>1052.1039999999994</v>
      </c>
      <c r="BF35" s="57">
        <v>1064.9079999999994</v>
      </c>
      <c r="BG35" s="57">
        <v>1077.7119999999995</v>
      </c>
      <c r="BH35" s="57">
        <v>1090.5159999999996</v>
      </c>
    </row>
    <row r="36" spans="2:60" ht="15.6" x14ac:dyDescent="0.3">
      <c r="B36" s="2" t="s">
        <v>396</v>
      </c>
      <c r="C36" s="2" t="s">
        <v>394</v>
      </c>
      <c r="D36" s="4" t="s">
        <v>355</v>
      </c>
      <c r="E36" s="19">
        <v>93.216800000000148</v>
      </c>
      <c r="F36" s="19">
        <v>92.185902118334695</v>
      </c>
      <c r="G36" s="57">
        <v>91.161614317019882</v>
      </c>
      <c r="H36" s="57">
        <v>90.137326515705041</v>
      </c>
      <c r="I36" s="57">
        <v>92.185902118334695</v>
      </c>
      <c r="J36" s="57">
        <v>98.331628926223686</v>
      </c>
      <c r="K36" s="57">
        <v>114.72023374726096</v>
      </c>
      <c r="L36" s="57">
        <v>144.42457998539103</v>
      </c>
      <c r="M36" s="57">
        <v>187.44466764061389</v>
      </c>
      <c r="N36" s="57">
        <v>230.46475529583677</v>
      </c>
      <c r="O36" s="57">
        <v>261.19338933528167</v>
      </c>
      <c r="P36" s="57">
        <v>276.55770635500409</v>
      </c>
      <c r="Q36" s="57">
        <v>283.72772096420789</v>
      </c>
      <c r="R36" s="57">
        <v>284.75200876552282</v>
      </c>
      <c r="S36" s="57">
        <v>284.75200876552282</v>
      </c>
      <c r="T36" s="57">
        <v>282.70343316289308</v>
      </c>
      <c r="U36" s="57">
        <v>280.65485756026339</v>
      </c>
      <c r="V36" s="57">
        <v>278.60628195763377</v>
      </c>
      <c r="W36" s="57">
        <v>275.53341855368927</v>
      </c>
      <c r="X36" s="57">
        <v>273.48484295105959</v>
      </c>
      <c r="Y36" s="57">
        <v>270.4119795471151</v>
      </c>
      <c r="Z36" s="57">
        <v>268.36340394448547</v>
      </c>
      <c r="AA36" s="57">
        <v>266.31482834185579</v>
      </c>
      <c r="AB36" s="57">
        <v>263.24196493791129</v>
      </c>
      <c r="AC36" s="57">
        <v>261.19338933528167</v>
      </c>
      <c r="AD36" s="57">
        <v>258.12052593133723</v>
      </c>
      <c r="AE36" s="57">
        <v>256.07195032870749</v>
      </c>
      <c r="AF36" s="57">
        <v>253.49809999999979</v>
      </c>
      <c r="AG36" s="57">
        <v>251.04120000000057</v>
      </c>
      <c r="AH36" s="57">
        <v>248.58430000000044</v>
      </c>
      <c r="AI36" s="57">
        <v>246.12740000000031</v>
      </c>
      <c r="AJ36" s="57">
        <v>243.67050000000017</v>
      </c>
      <c r="AK36" s="57">
        <v>241.21360000000004</v>
      </c>
      <c r="AL36" s="57">
        <v>238.75669999999991</v>
      </c>
      <c r="AM36" s="57">
        <v>236.29979999999978</v>
      </c>
      <c r="AN36" s="57">
        <v>233.84290000000055</v>
      </c>
      <c r="AO36" s="57">
        <v>231.38600000000042</v>
      </c>
      <c r="AP36" s="57">
        <v>228.92910000000029</v>
      </c>
      <c r="AQ36" s="57">
        <v>226.47220000000016</v>
      </c>
      <c r="AR36" s="57">
        <v>224.01530000000002</v>
      </c>
      <c r="AS36" s="57">
        <v>221.55839999999989</v>
      </c>
      <c r="AT36" s="57">
        <v>219.10149999999976</v>
      </c>
      <c r="AU36" s="57">
        <v>216.64460000000054</v>
      </c>
      <c r="AV36" s="57">
        <v>214.1877000000004</v>
      </c>
      <c r="AW36" s="57">
        <v>211.73080000000027</v>
      </c>
      <c r="AX36" s="57">
        <v>209.27390000000014</v>
      </c>
      <c r="AY36" s="57">
        <v>206.81700000000001</v>
      </c>
      <c r="AZ36" s="57">
        <v>204.36009999999987</v>
      </c>
      <c r="BA36" s="57">
        <v>201.90319999999974</v>
      </c>
      <c r="BB36" s="57">
        <v>199.44630000000052</v>
      </c>
      <c r="BC36" s="57">
        <v>196.98940000000039</v>
      </c>
      <c r="BD36" s="57">
        <v>194.53250000000025</v>
      </c>
      <c r="BE36" s="57">
        <v>192.07560000000012</v>
      </c>
      <c r="BF36" s="57">
        <v>189.61869999999999</v>
      </c>
      <c r="BG36" s="57">
        <v>187.16179999999986</v>
      </c>
      <c r="BH36" s="57">
        <v>184.70490000000063</v>
      </c>
    </row>
    <row r="37" spans="2:60" x14ac:dyDescent="0.3">
      <c r="B37" s="3" t="s">
        <v>397</v>
      </c>
    </row>
    <row r="38" spans="2:60" x14ac:dyDescent="0.3">
      <c r="B38" s="3" t="s">
        <v>398</v>
      </c>
    </row>
    <row r="39" spans="2:60" ht="15" thickBot="1" x14ac:dyDescent="0.35"/>
    <row r="40" spans="2:60" ht="15.6" x14ac:dyDescent="0.3">
      <c r="B40" s="1" t="s">
        <v>200</v>
      </c>
      <c r="AF40" s="73" t="s">
        <v>399</v>
      </c>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5"/>
    </row>
    <row r="41" spans="2:60" x14ac:dyDescent="0.3">
      <c r="B41" s="4" t="s">
        <v>47</v>
      </c>
      <c r="C41" s="4" t="s">
        <v>58</v>
      </c>
      <c r="D41" s="4" t="s">
        <v>130</v>
      </c>
      <c r="E41" s="4" t="s">
        <v>202</v>
      </c>
      <c r="F41" s="4" t="s">
        <v>203</v>
      </c>
      <c r="G41" s="4" t="s">
        <v>204</v>
      </c>
      <c r="H41" s="4" t="s">
        <v>205</v>
      </c>
      <c r="I41" s="4" t="s">
        <v>206</v>
      </c>
      <c r="J41" s="4" t="s">
        <v>207</v>
      </c>
      <c r="K41" s="4" t="s">
        <v>208</v>
      </c>
      <c r="L41" s="4" t="s">
        <v>209</v>
      </c>
      <c r="M41" s="4" t="s">
        <v>210</v>
      </c>
      <c r="N41" s="4" t="s">
        <v>211</v>
      </c>
      <c r="O41" s="4" t="s">
        <v>212</v>
      </c>
      <c r="P41" s="4" t="s">
        <v>213</v>
      </c>
      <c r="Q41" s="4" t="s">
        <v>214</v>
      </c>
      <c r="R41" s="4" t="s">
        <v>215</v>
      </c>
      <c r="S41" s="4" t="s">
        <v>216</v>
      </c>
      <c r="T41" s="4" t="s">
        <v>217</v>
      </c>
      <c r="U41" s="4" t="s">
        <v>218</v>
      </c>
      <c r="V41" s="4" t="s">
        <v>219</v>
      </c>
      <c r="W41" s="4" t="s">
        <v>220</v>
      </c>
      <c r="X41" s="4" t="s">
        <v>221</v>
      </c>
      <c r="Y41" s="4" t="s">
        <v>222</v>
      </c>
      <c r="Z41" s="4" t="s">
        <v>223</v>
      </c>
      <c r="AA41" s="4" t="s">
        <v>224</v>
      </c>
      <c r="AB41" s="4" t="s">
        <v>225</v>
      </c>
      <c r="AC41" s="4" t="s">
        <v>226</v>
      </c>
      <c r="AD41" s="4" t="s">
        <v>227</v>
      </c>
      <c r="AE41" s="4" t="s">
        <v>228</v>
      </c>
      <c r="AF41" s="4" t="s">
        <v>229</v>
      </c>
      <c r="AG41" s="4" t="s">
        <v>230</v>
      </c>
      <c r="AH41" s="4" t="s">
        <v>231</v>
      </c>
      <c r="AI41" s="4" t="s">
        <v>232</v>
      </c>
      <c r="AJ41" s="4" t="s">
        <v>233</v>
      </c>
      <c r="AK41" s="4" t="s">
        <v>234</v>
      </c>
      <c r="AL41" s="4" t="s">
        <v>235</v>
      </c>
      <c r="AM41" s="4" t="s">
        <v>236</v>
      </c>
      <c r="AN41" s="4" t="s">
        <v>237</v>
      </c>
      <c r="AO41" s="4" t="s">
        <v>238</v>
      </c>
      <c r="AP41" s="4" t="s">
        <v>239</v>
      </c>
      <c r="AQ41" s="4" t="s">
        <v>240</v>
      </c>
      <c r="AR41" s="4" t="s">
        <v>241</v>
      </c>
      <c r="AS41" s="4" t="s">
        <v>242</v>
      </c>
      <c r="AT41" s="4" t="s">
        <v>243</v>
      </c>
      <c r="AU41" s="4" t="s">
        <v>244</v>
      </c>
      <c r="AV41" s="4" t="s">
        <v>245</v>
      </c>
      <c r="AW41" s="4" t="s">
        <v>246</v>
      </c>
      <c r="AX41" s="4" t="s">
        <v>247</v>
      </c>
      <c r="AY41" s="4" t="s">
        <v>248</v>
      </c>
      <c r="AZ41" s="4" t="s">
        <v>249</v>
      </c>
      <c r="BA41" s="4" t="s">
        <v>250</v>
      </c>
      <c r="BB41" s="4" t="s">
        <v>251</v>
      </c>
      <c r="BC41" s="4" t="s">
        <v>252</v>
      </c>
      <c r="BD41" s="4" t="s">
        <v>253</v>
      </c>
      <c r="BE41" s="4" t="s">
        <v>254</v>
      </c>
      <c r="BF41" s="4" t="s">
        <v>255</v>
      </c>
      <c r="BG41" s="4" t="s">
        <v>256</v>
      </c>
      <c r="BH41" s="4" t="s">
        <v>257</v>
      </c>
    </row>
    <row r="42" spans="2:60" x14ac:dyDescent="0.3">
      <c r="B42" s="2" t="s">
        <v>258</v>
      </c>
      <c r="C42" s="58" t="s">
        <v>259</v>
      </c>
      <c r="D42" s="4" t="s">
        <v>172</v>
      </c>
      <c r="E42" s="4">
        <v>30</v>
      </c>
      <c r="F42" s="4">
        <v>30</v>
      </c>
      <c r="G42" s="2">
        <v>30.9</v>
      </c>
      <c r="H42" s="2">
        <v>35</v>
      </c>
      <c r="I42" s="2">
        <v>40.9</v>
      </c>
      <c r="J42" s="2">
        <v>50.3</v>
      </c>
      <c r="K42" s="2">
        <v>59</v>
      </c>
      <c r="L42" s="2">
        <v>62.6</v>
      </c>
      <c r="M42" s="2">
        <v>64</v>
      </c>
      <c r="N42" s="2">
        <v>71.099999999999994</v>
      </c>
      <c r="O42" s="2">
        <v>73.400000000000006</v>
      </c>
      <c r="P42" s="2">
        <v>62.4</v>
      </c>
      <c r="Q42" s="2">
        <v>59.2</v>
      </c>
      <c r="R42" s="2">
        <v>59</v>
      </c>
      <c r="S42" s="2">
        <v>58.7</v>
      </c>
      <c r="T42" s="2">
        <v>55.9</v>
      </c>
      <c r="U42" s="2">
        <v>56</v>
      </c>
      <c r="V42" s="2">
        <v>56.7</v>
      </c>
      <c r="W42" s="2">
        <v>55.9</v>
      </c>
      <c r="X42" s="2">
        <v>54.6</v>
      </c>
      <c r="Y42" s="2">
        <v>53.5</v>
      </c>
      <c r="Z42" s="2">
        <v>55.6</v>
      </c>
      <c r="AA42" s="2">
        <v>56.6</v>
      </c>
      <c r="AB42" s="2">
        <v>64.5</v>
      </c>
      <c r="AC42" s="2">
        <v>67.099999999999994</v>
      </c>
      <c r="AD42" s="2">
        <v>67.599999999999994</v>
      </c>
      <c r="AE42" s="2">
        <v>77.400000000000006</v>
      </c>
      <c r="AF42" s="57">
        <v>74.8472222222222</v>
      </c>
      <c r="AG42" s="57">
        <v>77.532222222222202</v>
      </c>
      <c r="AH42" s="57">
        <v>80.217222222222205</v>
      </c>
      <c r="AI42" s="57">
        <v>82.902222222222207</v>
      </c>
      <c r="AJ42" s="57">
        <v>85.587222222222195</v>
      </c>
      <c r="AK42" s="57">
        <v>88.272222222222197</v>
      </c>
      <c r="AL42" s="57">
        <v>90.9572222222222</v>
      </c>
      <c r="AM42" s="57">
        <v>93.642222222222202</v>
      </c>
      <c r="AN42" s="57">
        <v>96.327222222222204</v>
      </c>
      <c r="AO42" s="57">
        <v>99.012222222222206</v>
      </c>
      <c r="AP42" s="57">
        <v>101.697222222222</v>
      </c>
      <c r="AQ42" s="57">
        <v>104.382222222222</v>
      </c>
      <c r="AR42" s="57">
        <v>107.067222222222</v>
      </c>
      <c r="AS42" s="57">
        <v>109.752222222222</v>
      </c>
      <c r="AT42" s="57">
        <v>112.437222222222</v>
      </c>
      <c r="AU42" s="57">
        <v>115.12222222222201</v>
      </c>
      <c r="AV42" s="57">
        <v>117.80722222222199</v>
      </c>
      <c r="AW42" s="57">
        <v>120.492222222222</v>
      </c>
      <c r="AX42" s="57">
        <v>123.177222222222</v>
      </c>
      <c r="AY42" s="57">
        <v>125.862222222222</v>
      </c>
      <c r="AZ42" s="57">
        <v>128.54722222222199</v>
      </c>
      <c r="BA42" s="57">
        <v>131.23222222222199</v>
      </c>
      <c r="BB42" s="57">
        <v>133.91722222222199</v>
      </c>
      <c r="BC42" s="57">
        <v>136.602222222222</v>
      </c>
      <c r="BD42" s="57">
        <v>139.287222222222</v>
      </c>
      <c r="BE42" s="57">
        <v>141.972222222222</v>
      </c>
      <c r="BF42" s="57">
        <v>144.657222222222</v>
      </c>
      <c r="BG42" s="57">
        <v>147.34222222222201</v>
      </c>
      <c r="BH42" s="57">
        <v>150.02722222222201</v>
      </c>
    </row>
  </sheetData>
  <sheetProtection algorithmName="SHA-512" hashValue="sGzq4Z92++7YAsZnaoAN5XBqeDxZ7ivJjUBJlpkokp4ElaK+lfVepUiY9DvYZV/DEJNi0w7WFWybpS0ld143HA==" saltValue="LDetpYYgAiZBHbuXIwxo3w==" spinCount="100000" sheet="1" objects="1" scenarios="1" selectLockedCells="1"/>
  <mergeCells count="3">
    <mergeCell ref="AF10:BH10"/>
    <mergeCell ref="AF32:BH32"/>
    <mergeCell ref="AF40:BH40"/>
  </mergeCells>
  <phoneticPr fontId="5" type="noConversion"/>
  <hyperlinks>
    <hyperlink ref="C42" r:id="rId1" xr:uid="{D0332449-22C4-4F53-9C4B-220E1208C10F}"/>
  </hyperlinks>
  <pageMargins left="0.7" right="0.7" top="0.75" bottom="0.75" header="0.3" footer="0.3"/>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4D851435CB27C4C9CB248D93A42FFFB" ma:contentTypeVersion="21" ma:contentTypeDescription="Create a new document." ma:contentTypeScope="" ma:versionID="806a8df9cbed0193fe5400cae306bde3">
  <xsd:schema xmlns:xsd="http://www.w3.org/2001/XMLSchema" xmlns:xs="http://www.w3.org/2001/XMLSchema" xmlns:p="http://schemas.microsoft.com/office/2006/metadata/properties" xmlns:ns1="http://schemas.microsoft.com/sharepoint/v3" xmlns:ns2="2de3241c-4cd7-4017-9c99-8590455d8511" xmlns:ns3="28b6d87b-0bdc-4d51-b3ee-3a1a50c558f7" targetNamespace="http://schemas.microsoft.com/office/2006/metadata/properties" ma:root="true" ma:fieldsID="c517ce987bb698ff59482c4769f3c50a" ns1:_="" ns2:_="" ns3:_="">
    <xsd:import namespace="http://schemas.microsoft.com/sharepoint/v3"/>
    <xsd:import namespace="2de3241c-4cd7-4017-9c99-8590455d8511"/>
    <xsd:import namespace="28b6d87b-0bdc-4d51-b3ee-3a1a50c558f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e3241c-4cd7-4017-9c99-8590455d85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Owner" ma:index="28" nillable="true" ma:displayName="Owner" ma:description="Who is responsible for managing this folder? " ma:format="Dropdown" ma:internalName="Own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8b6d87b-0bdc-4d51-b3ee-3a1a50c558f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0faf3cd-7c6d-41b8-8965-5ad13262bc11}" ma:internalName="TaxCatchAll" ma:showField="CatchAllData" ma:web="28b6d87b-0bdc-4d51-b3ee-3a1a50c558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de3241c-4cd7-4017-9c99-8590455d8511">
      <Terms xmlns="http://schemas.microsoft.com/office/infopath/2007/PartnerControls"/>
    </lcf76f155ced4ddcb4097134ff3c332f>
    <_ip_UnifiedCompliancePolicyProperties xmlns="http://schemas.microsoft.com/sharepoint/v3" xsi:nil="true"/>
    <TaxCatchAll xmlns="28b6d87b-0bdc-4d51-b3ee-3a1a50c558f7" xsi:nil="true"/>
    <Owner xmlns="2de3241c-4cd7-4017-9c99-8590455d851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71D3BB-6AE3-4D64-A503-AC9FA50CD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de3241c-4cd7-4017-9c99-8590455d8511"/>
    <ds:schemaRef ds:uri="28b6d87b-0bdc-4d51-b3ee-3a1a50c558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6B4EE5-2B65-498B-948E-83844203B2EE}">
  <ds:schemaRefs>
    <ds:schemaRef ds:uri="http://schemas.microsoft.com/office/2006/metadata/properties"/>
    <ds:schemaRef ds:uri="http://schemas.microsoft.com/office/infopath/2007/PartnerControls"/>
    <ds:schemaRef ds:uri="http://schemas.microsoft.com/sharepoint/v3"/>
    <ds:schemaRef ds:uri="2de3241c-4cd7-4017-9c99-8590455d8511"/>
    <ds:schemaRef ds:uri="28b6d87b-0bdc-4d51-b3ee-3a1a50c558f7"/>
  </ds:schemaRefs>
</ds:datastoreItem>
</file>

<file path=customXml/itemProps3.xml><?xml version="1.0" encoding="utf-8"?>
<ds:datastoreItem xmlns:ds="http://schemas.openxmlformats.org/officeDocument/2006/customXml" ds:itemID="{0418D93B-3B56-407A-A05A-3D1449F032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Emissions</vt:lpstr>
      <vt:lpstr>Finance</vt:lpstr>
      <vt:lpstr>Finance-Calculations</vt:lpstr>
      <vt:lpstr>Outcome</vt:lpstr>
      <vt:lpstr>Parameters</vt:lpstr>
    </vt:vector>
  </TitlesOfParts>
  <Manager/>
  <Company>Department of Planning, Housing and Infrastructure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Manhvu Tran</dc:creator>
  <cp:keywords/>
  <dc:description/>
  <cp:lastModifiedBy>Manhvu Tran</cp:lastModifiedBy>
  <cp:revision/>
  <dcterms:created xsi:type="dcterms:W3CDTF">2025-07-24T12:20:08Z</dcterms:created>
  <dcterms:modified xsi:type="dcterms:W3CDTF">2026-03-04T04:28:32Z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0x010100D4D851435CB27C4C9CB248D93A42FFFB</vt:lpwstr>
  </property>
  <property fmtid="{D5CDD505-2E9C-101B-9397-08002B2CF9AE}" pid="3" name="MediaServiceImageTags">
    <vt:lpwstr/>
  </property>
</Properties>
</file>